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C:\Users\Ong Socheata\Desktop\Monetary and Financial Statistics_for upload on Web_excel file\"/>
    </mc:Choice>
  </mc:AlternateContent>
  <xr:revisionPtr revIDLastSave="0" documentId="13_ncr:1_{C1A4C695-7B95-4D77-8BAB-AD93AF64B2E5}" xr6:coauthVersionLast="44" xr6:coauthVersionMax="47" xr10:uidLastSave="{00000000-0000-0000-0000-000000000000}"/>
  <bookViews>
    <workbookView xWindow="-120" yWindow="-120" windowWidth="20730" windowHeight="11160" tabRatio="601" xr2:uid="{00000000-000D-0000-FFFF-FFFF00000000}"/>
  </bookViews>
  <sheets>
    <sheet name="Curr. # US$" sheetId="11" r:id="rId1"/>
  </sheets>
  <definedNames>
    <definedName name="_xlnm.Print_Area" localSheetId="0">'Curr. # US$'!$A$1:$JI$29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36" i="11" l="1"/>
  <c r="HJ22" i="11"/>
  <c r="HI22" i="11"/>
  <c r="HH22" i="11"/>
  <c r="HG22" i="11"/>
  <c r="HF22" i="11"/>
  <c r="HE22" i="11"/>
  <c r="HD22" i="11"/>
  <c r="HC22" i="11"/>
  <c r="HB22" i="11"/>
  <c r="HA22" i="11"/>
  <c r="GZ22" i="11"/>
  <c r="GY22" i="11"/>
  <c r="GX22" i="11"/>
  <c r="GW22" i="11"/>
  <c r="GV22" i="11"/>
  <c r="GU22" i="11"/>
  <c r="GT22" i="11"/>
  <c r="GS22" i="11"/>
  <c r="GR22" i="11"/>
  <c r="GQ22" i="11"/>
  <c r="GP22" i="11"/>
  <c r="GO22" i="11"/>
  <c r="GN22" i="11"/>
  <c r="GM22" i="11"/>
  <c r="GL22" i="11"/>
  <c r="GK22" i="11"/>
  <c r="GJ22" i="11"/>
  <c r="GI22" i="11"/>
  <c r="GH22" i="11"/>
  <c r="GG22" i="11"/>
  <c r="GF22" i="11"/>
  <c r="GE22" i="11"/>
  <c r="GD22" i="11"/>
  <c r="GC22" i="11"/>
  <c r="GB22" i="11"/>
  <c r="GA22" i="11"/>
  <c r="FZ22" i="11"/>
  <c r="FY22" i="11"/>
  <c r="FX22" i="11"/>
  <c r="FW22" i="11"/>
  <c r="FV22" i="11"/>
  <c r="FU22" i="11"/>
  <c r="FT22" i="11"/>
  <c r="FS22" i="11"/>
  <c r="FR22" i="11"/>
  <c r="FQ22" i="11"/>
  <c r="FP22" i="11"/>
  <c r="FO22" i="11"/>
  <c r="FN22" i="11"/>
  <c r="FM22" i="11"/>
  <c r="FL22" i="11"/>
  <c r="FK22" i="11"/>
  <c r="FJ22" i="11"/>
  <c r="FI22" i="11"/>
  <c r="FH22" i="11"/>
  <c r="FG22" i="11"/>
  <c r="FF22" i="11"/>
  <c r="FE22" i="11"/>
  <c r="FD22" i="11"/>
  <c r="FC22" i="11"/>
  <c r="FB22" i="11"/>
  <c r="FA22" i="11"/>
  <c r="EZ22" i="11"/>
  <c r="EY22" i="11"/>
  <c r="EX22" i="11"/>
  <c r="EW22" i="11"/>
  <c r="EV22" i="11"/>
  <c r="EU22" i="11"/>
  <c r="ET22" i="11"/>
  <c r="ES22" i="11"/>
  <c r="ER22" i="11"/>
  <c r="EQ22" i="11"/>
  <c r="EP22" i="11"/>
  <c r="EO22" i="11"/>
  <c r="EN22" i="11"/>
  <c r="EM22" i="11"/>
  <c r="EL22" i="11"/>
  <c r="EK22" i="11"/>
  <c r="EJ22" i="11"/>
  <c r="EI22" i="11"/>
  <c r="EH22" i="11"/>
  <c r="EG22" i="11"/>
  <c r="EF22" i="11"/>
  <c r="EE22" i="11"/>
  <c r="ED22" i="11"/>
  <c r="EC22" i="11"/>
  <c r="EB22" i="11"/>
  <c r="EA22" i="11"/>
  <c r="DZ22" i="11"/>
  <c r="DY22" i="11"/>
  <c r="DX22" i="11"/>
  <c r="DW22" i="11"/>
  <c r="DV22" i="11"/>
  <c r="DU22" i="11"/>
  <c r="DT22" i="11"/>
  <c r="DS22" i="11"/>
  <c r="DR22" i="11"/>
  <c r="DQ22" i="11"/>
  <c r="DP22" i="11"/>
  <c r="DO22" i="11"/>
  <c r="DN22" i="11"/>
  <c r="DM22" i="11"/>
  <c r="DL22" i="11"/>
  <c r="DK22" i="11"/>
  <c r="DJ22" i="11"/>
  <c r="DI22" i="11"/>
  <c r="DH22" i="11"/>
  <c r="DG22" i="11"/>
  <c r="DF22" i="11"/>
  <c r="DE22" i="11"/>
  <c r="DD22" i="11"/>
  <c r="DC22" i="11"/>
  <c r="DB22" i="11"/>
  <c r="DA22" i="11"/>
  <c r="CZ22" i="11"/>
  <c r="CY22" i="11"/>
  <c r="CX22" i="11"/>
  <c r="CW22" i="11"/>
  <c r="CV22" i="11"/>
  <c r="CU22" i="11"/>
  <c r="CT22" i="11"/>
  <c r="CS22" i="11"/>
  <c r="CR22" i="11"/>
  <c r="CQ22" i="11"/>
  <c r="CP22" i="11"/>
  <c r="CN22" i="11"/>
  <c r="CM22" i="11"/>
  <c r="CL22" i="11"/>
  <c r="CK22" i="11"/>
  <c r="CJ22" i="11"/>
  <c r="CI22" i="11"/>
  <c r="CH22" i="11"/>
  <c r="CG22" i="11"/>
  <c r="CF22" i="11"/>
  <c r="CE22" i="11"/>
  <c r="CD22" i="11"/>
  <c r="CC22" i="11"/>
  <c r="CB22" i="11"/>
  <c r="CA22" i="11"/>
  <c r="BY22" i="11"/>
  <c r="BX22" i="11"/>
  <c r="BW22" i="11"/>
  <c r="BV22" i="11"/>
  <c r="BU22" i="11"/>
  <c r="BT22" i="11"/>
  <c r="BS22" i="11"/>
  <c r="BR22" i="11"/>
  <c r="BQ22" i="11"/>
  <c r="BP22" i="11"/>
  <c r="BO22" i="11"/>
  <c r="BN22" i="11"/>
  <c r="BM22" i="11"/>
  <c r="BL22" i="11"/>
  <c r="BK22" i="11"/>
  <c r="BJ22" i="11"/>
  <c r="BI22" i="11"/>
  <c r="BH22" i="11"/>
  <c r="BG22" i="11"/>
  <c r="BF22" i="11"/>
  <c r="BE22" i="11"/>
  <c r="BD22" i="11"/>
  <c r="BC22" i="11"/>
  <c r="BB22" i="11"/>
  <c r="BA22" i="11"/>
  <c r="AZ22" i="11"/>
  <c r="AY22" i="11"/>
  <c r="AX22" i="11"/>
  <c r="AW22" i="11"/>
  <c r="AV22" i="11"/>
  <c r="AU22" i="11"/>
  <c r="AT22" i="11"/>
  <c r="AS22" i="11"/>
  <c r="AR22" i="11"/>
  <c r="AQ22" i="11"/>
  <c r="AP22" i="11"/>
  <c r="AO22" i="11"/>
  <c r="AN22" i="11"/>
  <c r="AM22" i="11"/>
  <c r="AL22" i="11"/>
  <c r="AK22" i="11"/>
  <c r="AJ22" i="11"/>
  <c r="AI22" i="11"/>
  <c r="AH22" i="11"/>
  <c r="AG22" i="11"/>
  <c r="AF22" i="11"/>
  <c r="AE22" i="11"/>
  <c r="AD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H22" i="11"/>
  <c r="G22" i="11"/>
  <c r="F22" i="11"/>
  <c r="E22" i="11"/>
  <c r="HJ21" i="11"/>
  <c r="HI21" i="11"/>
  <c r="HH21" i="11"/>
  <c r="HG21" i="11"/>
  <c r="HF21" i="11"/>
  <c r="HE21" i="11"/>
  <c r="HD21" i="11"/>
  <c r="HC21" i="11"/>
  <c r="HB21" i="11"/>
  <c r="HA21" i="11"/>
  <c r="GZ21" i="11"/>
  <c r="GY21" i="11"/>
  <c r="GX21" i="11"/>
  <c r="GW21" i="11"/>
  <c r="GV21" i="11"/>
  <c r="GU21" i="11"/>
  <c r="GT21" i="11"/>
  <c r="GS21" i="11"/>
  <c r="GR21" i="11"/>
  <c r="GQ21" i="11"/>
  <c r="GP21" i="11"/>
  <c r="GO21" i="11"/>
  <c r="GN21" i="11"/>
  <c r="GM21" i="11"/>
  <c r="GL21" i="11"/>
  <c r="GK21" i="11"/>
  <c r="GJ21" i="11"/>
  <c r="GI21" i="11"/>
  <c r="GH21" i="11"/>
  <c r="GG21" i="11"/>
  <c r="GF21" i="11"/>
  <c r="GE21" i="11"/>
  <c r="GD21" i="11"/>
  <c r="GC21" i="11"/>
  <c r="GB21" i="11"/>
  <c r="GA21" i="11"/>
  <c r="FZ21" i="11"/>
  <c r="FY21" i="11"/>
  <c r="FX21" i="11"/>
  <c r="FW21" i="11"/>
  <c r="FV21" i="11"/>
  <c r="FU21" i="11"/>
  <c r="FT21" i="11"/>
  <c r="FS21" i="11"/>
  <c r="FR21" i="11"/>
  <c r="FQ21" i="11"/>
  <c r="FP21" i="11"/>
  <c r="FO21" i="11"/>
  <c r="FN21" i="11"/>
  <c r="FM21" i="11"/>
  <c r="FL21" i="11"/>
  <c r="FK21" i="11"/>
  <c r="FJ21" i="11"/>
  <c r="FI21" i="11"/>
  <c r="FH21" i="11"/>
  <c r="FG21" i="11"/>
  <c r="FF21" i="11"/>
  <c r="FE21" i="11"/>
  <c r="FD21" i="11"/>
  <c r="FC21" i="11"/>
  <c r="FB21" i="11"/>
  <c r="FA21" i="11"/>
  <c r="EZ21" i="11"/>
  <c r="EY21" i="11"/>
  <c r="EX21" i="11"/>
  <c r="EW21" i="11"/>
  <c r="EV21" i="11"/>
  <c r="EU21" i="11"/>
  <c r="ET21" i="11"/>
  <c r="ES21" i="11"/>
  <c r="ER21" i="11"/>
  <c r="EQ21" i="11"/>
  <c r="EP21" i="11"/>
  <c r="EO21" i="11"/>
  <c r="EN21" i="11"/>
  <c r="EM21" i="11"/>
  <c r="EL21" i="11"/>
  <c r="EK21" i="11"/>
  <c r="EJ21" i="11"/>
  <c r="EI21" i="11"/>
  <c r="EH21" i="11"/>
  <c r="EG21" i="11"/>
  <c r="EF21" i="11"/>
  <c r="EE21" i="11"/>
  <c r="ED21" i="11"/>
  <c r="EC21" i="11"/>
  <c r="EB21" i="11"/>
  <c r="EA21" i="11"/>
  <c r="DZ21" i="11"/>
  <c r="DY21" i="11"/>
  <c r="DX21" i="11"/>
  <c r="DW21" i="11"/>
  <c r="DV21" i="11"/>
  <c r="DU21" i="11"/>
  <c r="DT21" i="11"/>
  <c r="DS21" i="11"/>
  <c r="DR21" i="11"/>
  <c r="DQ21" i="11"/>
  <c r="DP21" i="11"/>
  <c r="DO21" i="11"/>
  <c r="DN21" i="11"/>
  <c r="DM21" i="11"/>
  <c r="DL21" i="11"/>
  <c r="DK21" i="11"/>
  <c r="DJ21" i="11"/>
  <c r="DI21" i="11"/>
  <c r="DH21" i="11"/>
  <c r="DG21" i="11"/>
  <c r="DF21" i="11"/>
  <c r="DE21" i="11"/>
  <c r="DD21" i="11"/>
  <c r="DC21" i="11"/>
  <c r="DB21" i="11"/>
  <c r="DA21" i="11"/>
  <c r="CZ21" i="11"/>
  <c r="CY21" i="11"/>
  <c r="CX21" i="11"/>
  <c r="CW21" i="11"/>
  <c r="CV21" i="11"/>
  <c r="CU21" i="11"/>
  <c r="CT21" i="11"/>
  <c r="CS21" i="11"/>
  <c r="CR21" i="11"/>
  <c r="CQ21" i="11"/>
  <c r="CP21" i="11"/>
  <c r="CN21" i="11"/>
  <c r="CM21" i="11"/>
  <c r="CL21" i="11"/>
  <c r="CK21" i="11"/>
  <c r="CJ21" i="11"/>
  <c r="CI21" i="11"/>
  <c r="CH21" i="11"/>
  <c r="CG21" i="11"/>
  <c r="CF21" i="11"/>
  <c r="CE21" i="11"/>
  <c r="CD21" i="11"/>
  <c r="CC21" i="11"/>
  <c r="CB21" i="11"/>
  <c r="CA21" i="11"/>
  <c r="BY21" i="11"/>
  <c r="BX21" i="11"/>
  <c r="BW21" i="11"/>
  <c r="BV21" i="11"/>
  <c r="BU21" i="11"/>
  <c r="BT21" i="11"/>
  <c r="BS21" i="11"/>
  <c r="BR21" i="11"/>
  <c r="BQ21" i="11"/>
  <c r="BP21" i="11"/>
  <c r="BO21" i="11"/>
  <c r="BN21" i="11"/>
  <c r="BM21" i="11"/>
  <c r="BL21" i="11"/>
  <c r="BK21" i="11"/>
  <c r="BJ21" i="11"/>
  <c r="BI21" i="11"/>
  <c r="BH21" i="11"/>
  <c r="BG21" i="11"/>
  <c r="BF21" i="11"/>
  <c r="BE21" i="11"/>
  <c r="BD21" i="11"/>
  <c r="BC21" i="11"/>
  <c r="BB21" i="11"/>
  <c r="BA21" i="11"/>
  <c r="AZ21" i="11"/>
  <c r="AY21" i="11"/>
  <c r="AX21" i="11"/>
  <c r="AW21" i="11"/>
  <c r="AV21" i="11"/>
  <c r="AU21" i="11"/>
  <c r="AT21" i="11"/>
  <c r="AS21" i="11"/>
  <c r="AR21" i="11"/>
  <c r="AQ21" i="11"/>
  <c r="AP21" i="11"/>
  <c r="AO21" i="11"/>
  <c r="AN21" i="11"/>
  <c r="AM21" i="11"/>
  <c r="AL21" i="11"/>
  <c r="AK21" i="11"/>
  <c r="AJ21" i="11"/>
  <c r="AI21" i="11"/>
  <c r="AH21" i="11"/>
  <c r="AG21" i="11"/>
  <c r="AF21" i="11"/>
  <c r="AE21" i="11"/>
  <c r="AD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H21" i="11"/>
  <c r="G21" i="11"/>
  <c r="F21" i="11"/>
  <c r="E21" i="11"/>
  <c r="HJ6" i="11"/>
  <c r="HI6" i="11"/>
  <c r="HH6" i="11"/>
  <c r="HG6" i="11"/>
  <c r="HF6" i="11"/>
  <c r="HE6" i="11"/>
  <c r="HD6" i="11"/>
  <c r="HC6" i="11"/>
  <c r="HB6" i="11"/>
  <c r="HA6" i="11"/>
  <c r="GZ6" i="11"/>
  <c r="GY6" i="11"/>
  <c r="GX6" i="11"/>
  <c r="GW6" i="11"/>
  <c r="GV6" i="11"/>
  <c r="GU6" i="11"/>
  <c r="GT6" i="11"/>
  <c r="GS6" i="11"/>
  <c r="GR6" i="11"/>
  <c r="GQ6" i="11"/>
  <c r="GP6" i="11"/>
  <c r="GO6" i="11"/>
  <c r="GN6" i="11"/>
  <c r="GM6" i="11"/>
  <c r="GL6" i="11"/>
  <c r="GK6" i="11"/>
  <c r="GJ6" i="11"/>
  <c r="GI6" i="11"/>
  <c r="GH6" i="11"/>
  <c r="GG6" i="11"/>
  <c r="GF6" i="11"/>
  <c r="GE6" i="11"/>
  <c r="GD6" i="11"/>
  <c r="GC6" i="11"/>
  <c r="GB6" i="11"/>
  <c r="GA6" i="11"/>
  <c r="FZ6" i="11"/>
  <c r="FY6" i="11"/>
  <c r="FX6" i="11"/>
  <c r="FW6" i="11"/>
  <c r="FV6" i="11"/>
  <c r="FU6" i="11"/>
  <c r="FT6" i="11"/>
  <c r="FS6" i="11"/>
  <c r="FR6" i="11"/>
  <c r="FQ6" i="11"/>
  <c r="FP6" i="11"/>
  <c r="FO6" i="11"/>
  <c r="FN6" i="11"/>
  <c r="FM6" i="11"/>
  <c r="FL6" i="11"/>
  <c r="FK6" i="11"/>
  <c r="FJ6" i="11"/>
  <c r="FI6" i="11"/>
  <c r="FH6" i="11"/>
  <c r="FG6" i="11"/>
  <c r="FF6" i="11"/>
  <c r="FE6" i="11"/>
  <c r="FD6" i="11"/>
  <c r="FC6" i="11"/>
  <c r="FB6" i="11"/>
  <c r="FA6" i="11"/>
  <c r="EZ6" i="11"/>
  <c r="EY6" i="11"/>
  <c r="EX6" i="11"/>
  <c r="EW6" i="11"/>
  <c r="EV6" i="11"/>
  <c r="EU6" i="11"/>
  <c r="ET6" i="11"/>
  <c r="ES6" i="11"/>
  <c r="ER6" i="11"/>
  <c r="EQ6" i="11"/>
  <c r="EP6" i="11"/>
  <c r="EO6" i="11"/>
  <c r="EN6" i="11"/>
  <c r="EM6" i="11"/>
  <c r="EL6" i="11"/>
  <c r="EK6" i="11"/>
  <c r="EJ6" i="11"/>
  <c r="EI6" i="11"/>
  <c r="EH6" i="11"/>
  <c r="EG6" i="11"/>
  <c r="EF6" i="11"/>
  <c r="EE6" i="11"/>
  <c r="ED6" i="11"/>
  <c r="EC6" i="11"/>
  <c r="EB6" i="11"/>
  <c r="EA6" i="11"/>
  <c r="DZ6" i="11"/>
  <c r="DY6" i="11"/>
  <c r="DX6" i="11"/>
  <c r="DW6" i="11"/>
  <c r="DV6" i="11"/>
  <c r="DU6" i="11"/>
  <c r="DT6" i="11"/>
  <c r="DS6" i="11"/>
  <c r="DR6" i="11"/>
  <c r="DQ6" i="11"/>
  <c r="DP6" i="11"/>
  <c r="DO6" i="11"/>
  <c r="DN6" i="11"/>
  <c r="DM6" i="11"/>
  <c r="DL6" i="11"/>
  <c r="DK6" i="11"/>
  <c r="DJ6" i="11"/>
  <c r="DI6" i="11"/>
  <c r="DH6" i="11"/>
  <c r="DG6" i="11"/>
  <c r="DF6" i="11"/>
  <c r="DE6" i="11"/>
  <c r="DD6" i="11"/>
  <c r="DC6" i="11"/>
  <c r="DB6" i="11"/>
  <c r="DA6" i="11"/>
  <c r="CZ6" i="11"/>
  <c r="CY6" i="11"/>
  <c r="CX6" i="11"/>
  <c r="CW6" i="11"/>
  <c r="CV6" i="11"/>
  <c r="CU6" i="11"/>
  <c r="CT6" i="11"/>
  <c r="CS6" i="11"/>
  <c r="CR6" i="11"/>
  <c r="CQ6" i="11"/>
  <c r="CP6" i="11"/>
  <c r="CN6" i="11"/>
  <c r="CM6" i="11"/>
  <c r="CL6" i="11"/>
  <c r="CK6" i="11"/>
  <c r="CJ6" i="11"/>
  <c r="CI6" i="11"/>
  <c r="CH6" i="11"/>
  <c r="CG6" i="11"/>
  <c r="CF6" i="11"/>
  <c r="CE6" i="11"/>
  <c r="CD6" i="11"/>
  <c r="CC6" i="11"/>
  <c r="CB6" i="11"/>
  <c r="CA6" i="11"/>
  <c r="BY6" i="11"/>
  <c r="BX6" i="11"/>
  <c r="BW6" i="11"/>
  <c r="BV6" i="11"/>
  <c r="BU6" i="11"/>
  <c r="BT6" i="11"/>
  <c r="BS6" i="11"/>
  <c r="BR6" i="11"/>
  <c r="BQ6" i="11"/>
  <c r="BP6" i="11"/>
  <c r="BO6" i="11"/>
  <c r="BN6" i="11"/>
  <c r="BM6" i="11"/>
  <c r="BL6" i="11"/>
  <c r="BK6" i="11"/>
  <c r="BJ6" i="11"/>
  <c r="BI6" i="11"/>
  <c r="BH6" i="11"/>
  <c r="BG6" i="11"/>
  <c r="BF6" i="11"/>
  <c r="BE6" i="11"/>
  <c r="BD6" i="11"/>
  <c r="BC6" i="11"/>
  <c r="BB6" i="11"/>
  <c r="BA6" i="11"/>
  <c r="AZ6" i="11"/>
  <c r="AY6" i="11"/>
  <c r="AX6" i="11"/>
  <c r="AW6" i="11"/>
  <c r="AV6" i="11"/>
  <c r="AU6" i="11"/>
  <c r="AT6" i="11"/>
  <c r="AS6" i="11"/>
  <c r="AR6" i="11"/>
  <c r="AQ6" i="11"/>
  <c r="AP6" i="11"/>
  <c r="AO6" i="11"/>
  <c r="AN6" i="11"/>
  <c r="AM6" i="11"/>
  <c r="AL6" i="11"/>
  <c r="AK6" i="11"/>
  <c r="AJ6" i="11"/>
  <c r="AI6" i="11"/>
  <c r="AH6" i="11"/>
  <c r="AG6" i="11"/>
  <c r="AF6" i="11"/>
  <c r="AE6" i="11"/>
  <c r="AD6" i="11"/>
  <c r="AB6" i="11"/>
  <c r="AA6" i="11"/>
  <c r="Z6" i="11"/>
  <c r="Y6" i="11"/>
  <c r="X6" i="11"/>
  <c r="W6" i="11"/>
  <c r="V6" i="11"/>
  <c r="U6" i="11"/>
  <c r="T6" i="11"/>
  <c r="S6" i="11"/>
  <c r="R6" i="11"/>
  <c r="Q6" i="11"/>
  <c r="P6" i="11"/>
  <c r="O6" i="11"/>
  <c r="H6" i="11"/>
  <c r="G6" i="11"/>
  <c r="F6" i="11"/>
  <c r="E6" i="11"/>
</calcChain>
</file>

<file path=xl/sharedStrings.xml><?xml version="1.0" encoding="utf-8"?>
<sst xmlns="http://schemas.openxmlformats.org/spreadsheetml/2006/main" count="51" uniqueCount="49">
  <si>
    <t>Currencies</t>
  </si>
  <si>
    <t>ASIA</t>
  </si>
  <si>
    <t>Australian Dollar</t>
  </si>
  <si>
    <t>Hong Kong Dollar</t>
  </si>
  <si>
    <t>Korea Won</t>
  </si>
  <si>
    <t>Taiwan Dollar</t>
  </si>
  <si>
    <t>Philippine Peso</t>
  </si>
  <si>
    <t>Singapore Dollar</t>
  </si>
  <si>
    <t>Thai Bath</t>
  </si>
  <si>
    <t>Vietnamese Dong</t>
  </si>
  <si>
    <t>EUROPE</t>
  </si>
  <si>
    <t>Great Britain Pounds</t>
  </si>
  <si>
    <t>Japanese Yen</t>
  </si>
  <si>
    <t>Cambodia Riels</t>
  </si>
  <si>
    <t>European Euro</t>
  </si>
  <si>
    <t>Switzerland Franc</t>
  </si>
  <si>
    <t>AUD</t>
  </si>
  <si>
    <t>JPY</t>
  </si>
  <si>
    <t>KRW</t>
  </si>
  <si>
    <t>TWD</t>
  </si>
  <si>
    <t>IDR</t>
  </si>
  <si>
    <t>MYR</t>
  </si>
  <si>
    <t>PHP</t>
  </si>
  <si>
    <t>SGD</t>
  </si>
  <si>
    <t>THB</t>
  </si>
  <si>
    <t>VND</t>
  </si>
  <si>
    <t>EUR</t>
  </si>
  <si>
    <t>GBP</t>
  </si>
  <si>
    <t>CHF</t>
  </si>
  <si>
    <t>HKD</t>
  </si>
  <si>
    <t>KHR</t>
  </si>
  <si>
    <t xml:space="preserve">     (-) = appreciation against US$</t>
  </si>
  <si>
    <t xml:space="preserve">     (+) = deppreciation against US$</t>
  </si>
  <si>
    <t>ASEAN</t>
  </si>
  <si>
    <r>
      <t>Sources</t>
    </r>
    <r>
      <rPr>
        <sz val="8"/>
        <rFont val="Arial"/>
        <family val="2"/>
      </rPr>
      <t xml:space="preserve">: Exchange Department </t>
    </r>
  </si>
  <si>
    <t>Approved by</t>
  </si>
  <si>
    <t>Checked by</t>
  </si>
  <si>
    <t>Indonesia Rupiah</t>
  </si>
  <si>
    <t>Malaysia Ringgit</t>
  </si>
  <si>
    <t xml:space="preserve">                                                                                                 Prepared by</t>
  </si>
  <si>
    <t xml:space="preserve">                                                                                  Phnom Penh, 04 October 2006</t>
  </si>
  <si>
    <t>China</t>
  </si>
  <si>
    <t>CNY</t>
  </si>
  <si>
    <t>Apr.-02</t>
  </si>
  <si>
    <t>Statistics Department</t>
  </si>
  <si>
    <t xml:space="preserve">                                Monetary and Financial Statistics Division</t>
  </si>
  <si>
    <t xml:space="preserve">       </t>
  </si>
  <si>
    <t xml:space="preserve">                                  SIM SOTHEARITH</t>
  </si>
  <si>
    <r>
      <t>Some Asean And European Currencies Against USD (</t>
    </r>
    <r>
      <rPr>
        <sz val="12"/>
        <rFont val="Arial"/>
        <family val="2"/>
      </rPr>
      <t>End Period Market Buying Rate</t>
    </r>
    <r>
      <rPr>
        <sz val="14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</si>
</sst>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#,##0.0"/>
    <numFmt numFmtId="165" formatCode="0.0000"/>
    <numFmt numFmtId="166" formatCode="0.000"/>
    <numFmt numFmtId="167" formatCode="[$-409]mmm\-yy;@"/>
    <numFmt numFmtId="168" formatCode="0.0"/>
    <numFmt numFmtId="169" formatCode="0.00000"/>
  </numFmts>
  <fonts count="2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sz val="9"/>
      <color indexed="8"/>
      <name val="Arial"/>
      <family val="2"/>
    </font>
    <font>
      <u/>
      <sz val="8"/>
      <name val="Arial"/>
      <family val="2"/>
    </font>
    <font>
      <sz val="10"/>
      <color indexed="8"/>
      <name val="Arial"/>
      <family val="2"/>
    </font>
    <font>
      <u/>
      <sz val="9"/>
      <color indexed="16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u/>
      <sz val="9"/>
      <color indexed="8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i/>
      <sz val="8"/>
      <name val="Arial"/>
      <family val="2"/>
    </font>
    <font>
      <b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 applyFill="1"/>
    <xf numFmtId="0" fontId="3" fillId="0" borderId="0" xfId="0" applyFont="1" applyFill="1"/>
    <xf numFmtId="0" fontId="3" fillId="0" borderId="2" xfId="0" applyFont="1" applyFill="1" applyBorder="1"/>
    <xf numFmtId="165" fontId="4" fillId="0" borderId="2" xfId="0" applyNumberFormat="1" applyFont="1" applyFill="1" applyBorder="1"/>
    <xf numFmtId="2" fontId="3" fillId="0" borderId="2" xfId="0" applyNumberFormat="1" applyFont="1" applyFill="1" applyBorder="1"/>
    <xf numFmtId="166" fontId="3" fillId="0" borderId="2" xfId="0" applyNumberFormat="1" applyFont="1" applyFill="1" applyBorder="1"/>
    <xf numFmtId="165" fontId="3" fillId="0" borderId="2" xfId="0" applyNumberFormat="1" applyFont="1" applyFill="1" applyBorder="1"/>
    <xf numFmtId="14" fontId="9" fillId="0" borderId="0" xfId="0" applyNumberFormat="1" applyFont="1"/>
    <xf numFmtId="0" fontId="2" fillId="0" borderId="7" xfId="0" applyFont="1" applyBorder="1"/>
    <xf numFmtId="0" fontId="2" fillId="0" borderId="2" xfId="0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right"/>
    </xf>
    <xf numFmtId="2" fontId="2" fillId="0" borderId="0" xfId="0" applyNumberFormat="1" applyFont="1" applyFill="1"/>
    <xf numFmtId="17" fontId="2" fillId="0" borderId="5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/>
    <xf numFmtId="164" fontId="3" fillId="0" borderId="2" xfId="0" applyNumberFormat="1" applyFont="1" applyFill="1" applyBorder="1"/>
    <xf numFmtId="0" fontId="8" fillId="2" borderId="9" xfId="0" applyFont="1" applyFill="1" applyBorder="1"/>
    <xf numFmtId="0" fontId="10" fillId="2" borderId="9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3" fontId="3" fillId="2" borderId="2" xfId="0" applyNumberFormat="1" applyFont="1" applyFill="1" applyBorder="1"/>
    <xf numFmtId="165" fontId="4" fillId="2" borderId="2" xfId="0" applyNumberFormat="1" applyFont="1" applyFill="1" applyBorder="1"/>
    <xf numFmtId="165" fontId="3" fillId="2" borderId="2" xfId="0" applyNumberFormat="1" applyFont="1" applyFill="1" applyBorder="1"/>
    <xf numFmtId="0" fontId="13" fillId="0" borderId="0" xfId="0" applyFont="1"/>
    <xf numFmtId="0" fontId="14" fillId="2" borderId="9" xfId="0" applyFont="1" applyFill="1" applyBorder="1"/>
    <xf numFmtId="167" fontId="3" fillId="0" borderId="6" xfId="0" applyNumberFormat="1" applyFont="1" applyBorder="1" applyAlignment="1">
      <alignment horizontal="center" vertical="center"/>
    </xf>
    <xf numFmtId="167" fontId="3" fillId="0" borderId="5" xfId="0" applyNumberFormat="1" applyFont="1" applyBorder="1" applyAlignment="1">
      <alignment horizontal="center" vertical="center"/>
    </xf>
    <xf numFmtId="4" fontId="3" fillId="0" borderId="2" xfId="0" applyNumberFormat="1" applyFont="1" applyFill="1" applyBorder="1"/>
    <xf numFmtId="165" fontId="3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/>
    <xf numFmtId="164" fontId="3" fillId="0" borderId="1" xfId="0" applyNumberFormat="1" applyFont="1" applyFill="1" applyBorder="1"/>
    <xf numFmtId="4" fontId="3" fillId="0" borderId="1" xfId="0" applyNumberFormat="1" applyFont="1" applyFill="1" applyBorder="1"/>
    <xf numFmtId="3" fontId="3" fillId="0" borderId="1" xfId="0" applyNumberFormat="1" applyFont="1" applyFill="1" applyBorder="1"/>
    <xf numFmtId="165" fontId="3" fillId="0" borderId="1" xfId="0" applyNumberFormat="1" applyFont="1" applyFill="1" applyBorder="1"/>
    <xf numFmtId="3" fontId="3" fillId="2" borderId="1" xfId="0" applyNumberFormat="1" applyFont="1" applyFill="1" applyBorder="1"/>
    <xf numFmtId="165" fontId="3" fillId="2" borderId="1" xfId="0" applyNumberFormat="1" applyFont="1" applyFill="1" applyBorder="1"/>
    <xf numFmtId="0" fontId="2" fillId="0" borderId="2" xfId="0" applyFont="1" applyBorder="1"/>
    <xf numFmtId="0" fontId="3" fillId="0" borderId="8" xfId="0" applyFont="1" applyFill="1" applyBorder="1"/>
    <xf numFmtId="0" fontId="8" fillId="2" borderId="10" xfId="0" applyFont="1" applyFill="1" applyBorder="1"/>
    <xf numFmtId="0" fontId="2" fillId="0" borderId="8" xfId="0" applyFont="1" applyFill="1" applyBorder="1"/>
    <xf numFmtId="3" fontId="1" fillId="0" borderId="0" xfId="0" applyNumberFormat="1" applyFont="1" applyBorder="1" applyAlignment="1">
      <alignment horizontal="center"/>
    </xf>
    <xf numFmtId="0" fontId="1" fillId="0" borderId="0" xfId="0" applyFont="1" applyFill="1"/>
    <xf numFmtId="165" fontId="4" fillId="0" borderId="1" xfId="0" applyNumberFormat="1" applyFont="1" applyFill="1" applyBorder="1"/>
    <xf numFmtId="0" fontId="3" fillId="0" borderId="1" xfId="0" applyFont="1" applyFill="1" applyBorder="1"/>
    <xf numFmtId="166" fontId="3" fillId="0" borderId="1" xfId="0" applyNumberFormat="1" applyFont="1" applyFill="1" applyBorder="1"/>
    <xf numFmtId="165" fontId="4" fillId="2" borderId="1" xfId="0" applyNumberFormat="1" applyFont="1" applyFill="1" applyBorder="1"/>
    <xf numFmtId="0" fontId="2" fillId="0" borderId="0" xfId="0" applyFont="1" applyAlignment="1">
      <alignment horizontal="left"/>
    </xf>
    <xf numFmtId="0" fontId="3" fillId="3" borderId="1" xfId="0" applyFont="1" applyFill="1" applyBorder="1"/>
    <xf numFmtId="0" fontId="2" fillId="3" borderId="0" xfId="0" applyFont="1" applyFill="1"/>
    <xf numFmtId="14" fontId="9" fillId="3" borderId="0" xfId="0" applyNumberFormat="1" applyFont="1" applyFill="1"/>
    <xf numFmtId="167" fontId="3" fillId="3" borderId="6" xfId="0" applyNumberFormat="1" applyFont="1" applyFill="1" applyBorder="1" applyAlignment="1">
      <alignment horizontal="center" vertical="center"/>
    </xf>
    <xf numFmtId="0" fontId="2" fillId="3" borderId="2" xfId="0" applyFont="1" applyFill="1" applyBorder="1"/>
    <xf numFmtId="165" fontId="4" fillId="3" borderId="1" xfId="0" applyNumberFormat="1" applyFont="1" applyFill="1" applyBorder="1"/>
    <xf numFmtId="165" fontId="3" fillId="3" borderId="1" xfId="0" applyNumberFormat="1" applyFont="1" applyFill="1" applyBorder="1" applyAlignment="1">
      <alignment horizontal="right"/>
    </xf>
    <xf numFmtId="2" fontId="3" fillId="3" borderId="1" xfId="0" applyNumberFormat="1" applyFont="1" applyFill="1" applyBorder="1"/>
    <xf numFmtId="164" fontId="3" fillId="3" borderId="1" xfId="0" applyNumberFormat="1" applyFont="1" applyFill="1" applyBorder="1"/>
    <xf numFmtId="4" fontId="3" fillId="3" borderId="1" xfId="0" applyNumberFormat="1" applyFont="1" applyFill="1" applyBorder="1"/>
    <xf numFmtId="3" fontId="3" fillId="3" borderId="1" xfId="0" applyNumberFormat="1" applyFont="1" applyFill="1" applyBorder="1"/>
    <xf numFmtId="165" fontId="3" fillId="3" borderId="1" xfId="0" applyNumberFormat="1" applyFont="1" applyFill="1" applyBorder="1"/>
    <xf numFmtId="166" fontId="3" fillId="3" borderId="1" xfId="0" applyNumberFormat="1" applyFont="1" applyFill="1" applyBorder="1"/>
    <xf numFmtId="0" fontId="3" fillId="3" borderId="8" xfId="0" applyFont="1" applyFill="1" applyBorder="1"/>
    <xf numFmtId="0" fontId="2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14" fontId="15" fillId="0" borderId="0" xfId="0" applyNumberFormat="1" applyFont="1"/>
    <xf numFmtId="17" fontId="2" fillId="0" borderId="5" xfId="0" applyNumberFormat="1" applyFont="1" applyBorder="1" applyAlignment="1">
      <alignment horizontal="center"/>
    </xf>
    <xf numFmtId="17" fontId="2" fillId="0" borderId="5" xfId="0" applyNumberFormat="1" applyFont="1" applyBorder="1" applyAlignment="1">
      <alignment horizontal="left" vertical="center"/>
    </xf>
    <xf numFmtId="2" fontId="2" fillId="0" borderId="7" xfId="0" applyNumberFormat="1" applyFont="1" applyBorder="1"/>
    <xf numFmtId="0" fontId="6" fillId="0" borderId="2" xfId="0" applyFont="1" applyFill="1" applyBorder="1"/>
    <xf numFmtId="0" fontId="2" fillId="0" borderId="2" xfId="0" applyFont="1" applyFill="1" applyBorder="1"/>
    <xf numFmtId="165" fontId="3" fillId="0" borderId="2" xfId="0" applyNumberFormat="1" applyFont="1" applyFill="1" applyBorder="1" applyAlignment="1">
      <alignment horizontal="left" indent="1"/>
    </xf>
    <xf numFmtId="168" fontId="2" fillId="0" borderId="2" xfId="0" applyNumberFormat="1" applyFont="1" applyFill="1" applyBorder="1"/>
    <xf numFmtId="1" fontId="2" fillId="0" borderId="2" xfId="0" applyNumberFormat="1" applyFont="1" applyFill="1" applyBorder="1"/>
    <xf numFmtId="2" fontId="2" fillId="0" borderId="2" xfId="0" applyNumberFormat="1" applyFont="1" applyFill="1" applyBorder="1"/>
    <xf numFmtId="169" fontId="2" fillId="0" borderId="2" xfId="0" applyNumberFormat="1" applyFont="1" applyFill="1" applyBorder="1"/>
    <xf numFmtId="169" fontId="3" fillId="0" borderId="2" xfId="0" applyNumberFormat="1" applyFont="1" applyFill="1" applyBorder="1"/>
    <xf numFmtId="165" fontId="2" fillId="0" borderId="2" xfId="0" applyNumberFormat="1" applyFont="1" applyFill="1" applyBorder="1"/>
    <xf numFmtId="2" fontId="3" fillId="0" borderId="8" xfId="0" applyNumberFormat="1" applyFont="1" applyFill="1" applyBorder="1"/>
    <xf numFmtId="2" fontId="16" fillId="0" borderId="0" xfId="0" applyNumberFormat="1" applyFont="1" applyFill="1"/>
    <xf numFmtId="0" fontId="12" fillId="0" borderId="0" xfId="0" applyFont="1" applyBorder="1"/>
    <xf numFmtId="0" fontId="0" fillId="0" borderId="0" xfId="0" applyBorder="1"/>
    <xf numFmtId="0" fontId="17" fillId="0" borderId="0" xfId="0" applyFont="1" applyFill="1" applyBorder="1"/>
    <xf numFmtId="2" fontId="2" fillId="0" borderId="0" xfId="0" applyNumberFormat="1" applyFont="1"/>
    <xf numFmtId="0" fontId="12" fillId="0" borderId="0" xfId="0" applyFont="1" applyFill="1"/>
    <xf numFmtId="0" fontId="12" fillId="0" borderId="0" xfId="0" applyFont="1" applyBorder="1" applyAlignment="1">
      <alignment horizontal="right"/>
    </xf>
    <xf numFmtId="0" fontId="18" fillId="0" borderId="0" xfId="0" applyFont="1"/>
    <xf numFmtId="0" fontId="0" fillId="0" borderId="0" xfId="0" applyBorder="1" applyAlignment="1">
      <alignment horizontal="center"/>
    </xf>
    <xf numFmtId="0" fontId="19" fillId="0" borderId="0" xfId="0" applyFont="1" applyAlignment="1">
      <alignment horizontal="center"/>
    </xf>
    <xf numFmtId="0" fontId="2" fillId="3" borderId="7" xfId="0" applyFont="1" applyFill="1" applyBorder="1"/>
    <xf numFmtId="165" fontId="4" fillId="3" borderId="2" xfId="0" applyNumberFormat="1" applyFont="1" applyFill="1" applyBorder="1"/>
    <xf numFmtId="165" fontId="3" fillId="3" borderId="2" xfId="0" applyNumberFormat="1" applyFont="1" applyFill="1" applyBorder="1" applyAlignment="1">
      <alignment horizontal="right"/>
    </xf>
    <xf numFmtId="2" fontId="3" fillId="3" borderId="2" xfId="0" applyNumberFormat="1" applyFont="1" applyFill="1" applyBorder="1"/>
    <xf numFmtId="164" fontId="3" fillId="3" borderId="2" xfId="0" applyNumberFormat="1" applyFont="1" applyFill="1" applyBorder="1"/>
    <xf numFmtId="4" fontId="3" fillId="3" borderId="2" xfId="0" applyNumberFormat="1" applyFont="1" applyFill="1" applyBorder="1"/>
    <xf numFmtId="3" fontId="3" fillId="3" borderId="2" xfId="0" applyNumberFormat="1" applyFont="1" applyFill="1" applyBorder="1"/>
    <xf numFmtId="165" fontId="3" fillId="3" borderId="2" xfId="0" applyNumberFormat="1" applyFont="1" applyFill="1" applyBorder="1"/>
    <xf numFmtId="0" fontId="3" fillId="3" borderId="2" xfId="0" applyFont="1" applyFill="1" applyBorder="1"/>
    <xf numFmtId="166" fontId="3" fillId="3" borderId="2" xfId="0" applyNumberFormat="1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H5579"/>
  <sheetViews>
    <sheetView tabSelected="1" zoomScaleNormal="100" zoomScaleSheetLayoutView="100" workbookViewId="0">
      <pane xSplit="1" ySplit="4" topLeftCell="II17" activePane="bottomRight" state="frozen"/>
      <selection pane="topRight" activeCell="B1" sqref="B1"/>
      <selection pane="bottomLeft" activeCell="A6" sqref="A6"/>
      <selection pane="bottomRight" activeCell="JG27" sqref="JG27"/>
    </sheetView>
  </sheetViews>
  <sheetFormatPr defaultColWidth="9.140625" defaultRowHeight="12" x14ac:dyDescent="0.2"/>
  <cols>
    <col min="1" max="1" width="20.5703125" style="2" customWidth="1"/>
    <col min="2" max="2" width="6.140625" style="2" customWidth="1"/>
    <col min="3" max="3" width="9.140625" style="2" hidden="1" customWidth="1"/>
    <col min="4" max="15" width="7.28515625" style="2" hidden="1" customWidth="1"/>
    <col min="16" max="16" width="7.140625" style="2" hidden="1" customWidth="1"/>
    <col min="17" max="27" width="7.28515625" style="2" hidden="1" customWidth="1"/>
    <col min="28" max="28" width="7.140625" style="2" hidden="1" customWidth="1"/>
    <col min="29" max="38" width="7.28515625" style="2" hidden="1" customWidth="1"/>
    <col min="39" max="39" width="8" style="2" hidden="1" customWidth="1"/>
    <col min="40" max="40" width="7.140625" style="2" hidden="1" customWidth="1"/>
    <col min="41" max="44" width="7.28515625" style="2" hidden="1" customWidth="1"/>
    <col min="45" max="45" width="7.5703125" style="2" hidden="1" customWidth="1"/>
    <col min="46" max="47" width="7.42578125" style="2" hidden="1" customWidth="1"/>
    <col min="48" max="49" width="7.7109375" style="2" hidden="1" customWidth="1"/>
    <col min="50" max="51" width="7.42578125" style="2" hidden="1" customWidth="1"/>
    <col min="52" max="122" width="7.140625" style="2" hidden="1" customWidth="1"/>
    <col min="123" max="123" width="0.5703125" style="2" hidden="1" customWidth="1"/>
    <col min="124" max="124" width="6.140625" style="2" hidden="1" customWidth="1"/>
    <col min="125" max="134" width="7.140625" style="2" hidden="1" customWidth="1"/>
    <col min="135" max="135" width="0.140625" style="2" hidden="1" customWidth="1"/>
    <col min="136" max="146" width="5.85546875" style="2" hidden="1" customWidth="1"/>
    <col min="147" max="147" width="0.140625" style="2" hidden="1" customWidth="1"/>
    <col min="148" max="150" width="5.85546875" style="2" hidden="1" customWidth="1"/>
    <col min="151" max="151" width="6" style="2" hidden="1" customWidth="1"/>
    <col min="152" max="153" width="5.85546875" style="2" hidden="1" customWidth="1"/>
    <col min="154" max="154" width="6.42578125" style="2" hidden="1" customWidth="1"/>
    <col min="155" max="156" width="5.85546875" style="2" hidden="1" customWidth="1"/>
    <col min="157" max="158" width="6.140625" style="2" hidden="1" customWidth="1"/>
    <col min="159" max="159" width="2.5703125" style="2" hidden="1" customWidth="1"/>
    <col min="160" max="160" width="6.42578125" style="53" hidden="1" customWidth="1"/>
    <col min="161" max="162" width="6.28515625" style="53" hidden="1" customWidth="1"/>
    <col min="163" max="164" width="6.5703125" style="53" hidden="1" customWidth="1"/>
    <col min="165" max="166" width="6" style="53" hidden="1" customWidth="1"/>
    <col min="167" max="167" width="6.42578125" style="53" hidden="1" customWidth="1"/>
    <col min="168" max="184" width="6.7109375" style="53" hidden="1" customWidth="1"/>
    <col min="185" max="185" width="5.7109375" style="53" hidden="1" customWidth="1"/>
    <col min="186" max="188" width="6.7109375" style="53" hidden="1" customWidth="1"/>
    <col min="189" max="190" width="6" style="53" hidden="1" customWidth="1"/>
    <col min="191" max="192" width="6.140625" style="53" hidden="1" customWidth="1"/>
    <col min="193" max="194" width="6.28515625" style="53" hidden="1" customWidth="1"/>
    <col min="195" max="195" width="6.42578125" style="53" hidden="1" customWidth="1"/>
    <col min="196" max="196" width="6.28515625" style="53" hidden="1" customWidth="1"/>
    <col min="197" max="197" width="6.140625" style="53" hidden="1" customWidth="1"/>
    <col min="198" max="198" width="5.85546875" style="53" hidden="1" customWidth="1"/>
    <col min="199" max="199" width="6" style="53" hidden="1" customWidth="1"/>
    <col min="200" max="202" width="6.28515625" style="53" hidden="1" customWidth="1"/>
    <col min="203" max="203" width="6.140625" style="53" hidden="1" customWidth="1"/>
    <col min="204" max="204" width="6" style="53" hidden="1" customWidth="1"/>
    <col min="205" max="205" width="6.28515625" style="53" hidden="1" customWidth="1"/>
    <col min="206" max="206" width="6.140625" style="53" hidden="1" customWidth="1"/>
    <col min="207" max="207" width="5.85546875" style="53" hidden="1" customWidth="1"/>
    <col min="208" max="208" width="6.140625" style="53" customWidth="1"/>
    <col min="209" max="209" width="6" style="53" hidden="1" customWidth="1"/>
    <col min="210" max="219" width="5.85546875" style="53" hidden="1" customWidth="1"/>
    <col min="220" max="220" width="5.85546875" style="53" customWidth="1"/>
    <col min="221" max="231" width="5.85546875" style="53" hidden="1" customWidth="1"/>
    <col min="232" max="268" width="5.85546875" style="53" customWidth="1"/>
    <col min="269" max="16384" width="9.140625" style="2"/>
  </cols>
  <sheetData>
    <row r="2" spans="1:268" ht="15.75" customHeight="1" x14ac:dyDescent="0.25">
      <c r="A2" s="103" t="s">
        <v>48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  <c r="IU2" s="103"/>
      <c r="IV2" s="103"/>
      <c r="IW2" s="103"/>
      <c r="IX2" s="103"/>
      <c r="IY2" s="103"/>
      <c r="IZ2" s="103"/>
      <c r="JA2" s="103"/>
      <c r="JB2" s="103"/>
      <c r="JC2" s="103"/>
      <c r="JD2" s="103"/>
      <c r="JE2" s="103"/>
      <c r="JF2" s="103"/>
      <c r="JG2" s="103"/>
      <c r="JH2" s="102"/>
    </row>
    <row r="3" spans="1:268" ht="9" customHeight="1" thickBot="1" x14ac:dyDescent="0.25"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  <c r="IT3" s="54"/>
      <c r="IU3" s="54"/>
      <c r="IV3" s="54"/>
      <c r="IW3" s="54"/>
      <c r="IX3" s="54"/>
      <c r="IY3" s="54"/>
      <c r="IZ3" s="54"/>
      <c r="JA3" s="54"/>
      <c r="JB3" s="54"/>
      <c r="JC3" s="54"/>
      <c r="JD3" s="54"/>
      <c r="JE3" s="54"/>
      <c r="JF3" s="54"/>
      <c r="JG3" s="54"/>
      <c r="JH3" s="54"/>
    </row>
    <row r="4" spans="1:268" s="5" customFormat="1" ht="31.5" customHeight="1" thickTop="1" thickBot="1" x14ac:dyDescent="0.25">
      <c r="A4" s="66" t="s">
        <v>0</v>
      </c>
      <c r="B4" s="6"/>
      <c r="C4" s="69">
        <v>36495</v>
      </c>
      <c r="D4" s="19">
        <v>36861</v>
      </c>
      <c r="E4" s="69">
        <v>36892</v>
      </c>
      <c r="F4" s="69">
        <v>36923</v>
      </c>
      <c r="G4" s="69">
        <v>36951</v>
      </c>
      <c r="H4" s="69">
        <v>36982</v>
      </c>
      <c r="I4" s="69">
        <v>37012</v>
      </c>
      <c r="J4" s="69">
        <v>37043</v>
      </c>
      <c r="K4" s="69">
        <v>37073</v>
      </c>
      <c r="L4" s="69">
        <v>37104</v>
      </c>
      <c r="M4" s="69">
        <v>37135</v>
      </c>
      <c r="N4" s="69">
        <v>37165</v>
      </c>
      <c r="O4" s="69">
        <v>37196</v>
      </c>
      <c r="P4" s="19">
        <v>37226</v>
      </c>
      <c r="Q4" s="19">
        <v>37257</v>
      </c>
      <c r="R4" s="19">
        <v>37288</v>
      </c>
      <c r="S4" s="19">
        <v>37316</v>
      </c>
      <c r="T4" s="19" t="s">
        <v>43</v>
      </c>
      <c r="U4" s="19">
        <v>37378</v>
      </c>
      <c r="V4" s="19">
        <v>37408</v>
      </c>
      <c r="W4" s="19">
        <v>37438</v>
      </c>
      <c r="X4" s="19">
        <v>37499</v>
      </c>
      <c r="Y4" s="19">
        <v>37529</v>
      </c>
      <c r="Z4" s="19">
        <v>37560</v>
      </c>
      <c r="AA4" s="19">
        <v>37590</v>
      </c>
      <c r="AB4" s="19">
        <v>37621</v>
      </c>
      <c r="AC4" s="19">
        <v>37652</v>
      </c>
      <c r="AD4" s="19">
        <v>37680</v>
      </c>
      <c r="AE4" s="19">
        <v>37711</v>
      </c>
      <c r="AF4" s="19">
        <v>37741</v>
      </c>
      <c r="AG4" s="19">
        <v>37772</v>
      </c>
      <c r="AH4" s="19">
        <v>37802</v>
      </c>
      <c r="AI4" s="19">
        <v>37833</v>
      </c>
      <c r="AJ4" s="19">
        <v>37864</v>
      </c>
      <c r="AK4" s="70">
        <v>37894</v>
      </c>
      <c r="AL4" s="19">
        <v>37925</v>
      </c>
      <c r="AM4" s="19">
        <v>37955</v>
      </c>
      <c r="AN4" s="19">
        <v>37986</v>
      </c>
      <c r="AO4" s="19">
        <v>37990</v>
      </c>
      <c r="AP4" s="19">
        <v>38046</v>
      </c>
      <c r="AQ4" s="19">
        <v>38077</v>
      </c>
      <c r="AR4" s="19">
        <v>38107</v>
      </c>
      <c r="AS4" s="19">
        <v>38138</v>
      </c>
      <c r="AT4" s="19">
        <v>38168</v>
      </c>
      <c r="AU4" s="19">
        <v>38199</v>
      </c>
      <c r="AV4" s="19">
        <v>38230</v>
      </c>
      <c r="AW4" s="19">
        <v>38260</v>
      </c>
      <c r="AX4" s="19">
        <v>38288</v>
      </c>
      <c r="AY4" s="19">
        <v>38321</v>
      </c>
      <c r="AZ4" s="19">
        <v>38352</v>
      </c>
      <c r="BA4" s="19">
        <v>38383</v>
      </c>
      <c r="BB4" s="31">
        <v>38411</v>
      </c>
      <c r="BC4" s="31">
        <v>38442</v>
      </c>
      <c r="BD4" s="31">
        <v>38471</v>
      </c>
      <c r="BE4" s="31">
        <v>38499</v>
      </c>
      <c r="BF4" s="31">
        <v>38533</v>
      </c>
      <c r="BG4" s="31">
        <v>38562</v>
      </c>
      <c r="BH4" s="31">
        <v>38594</v>
      </c>
      <c r="BI4" s="31">
        <v>38625</v>
      </c>
      <c r="BJ4" s="31">
        <v>38653</v>
      </c>
      <c r="BK4" s="31">
        <v>38686</v>
      </c>
      <c r="BL4" s="31">
        <v>38716</v>
      </c>
      <c r="BM4" s="31">
        <v>38723</v>
      </c>
      <c r="BN4" s="31">
        <v>38754</v>
      </c>
      <c r="BO4" s="31">
        <v>38782</v>
      </c>
      <c r="BP4" s="31">
        <v>38813</v>
      </c>
      <c r="BQ4" s="31">
        <v>38843</v>
      </c>
      <c r="BR4" s="31">
        <v>38874</v>
      </c>
      <c r="BS4" s="31">
        <v>38904</v>
      </c>
      <c r="BT4" s="31">
        <v>38935</v>
      </c>
      <c r="BU4" s="31">
        <v>38966</v>
      </c>
      <c r="BV4" s="31">
        <v>38996</v>
      </c>
      <c r="BW4" s="31">
        <v>39027</v>
      </c>
      <c r="BX4" s="31">
        <v>39057</v>
      </c>
      <c r="BY4" s="31">
        <v>39088</v>
      </c>
      <c r="BZ4" s="31">
        <v>39120</v>
      </c>
      <c r="CA4" s="31">
        <v>39148</v>
      </c>
      <c r="CB4" s="31">
        <v>39179</v>
      </c>
      <c r="CC4" s="31">
        <v>39210</v>
      </c>
      <c r="CD4" s="31">
        <v>39242</v>
      </c>
      <c r="CE4" s="31">
        <v>39273</v>
      </c>
      <c r="CF4" s="31">
        <v>39304</v>
      </c>
      <c r="CG4" s="31">
        <v>39332</v>
      </c>
      <c r="CH4" s="31">
        <v>39362</v>
      </c>
      <c r="CI4" s="31">
        <v>39393</v>
      </c>
      <c r="CJ4" s="31">
        <v>39424</v>
      </c>
      <c r="CK4" s="31">
        <v>39455</v>
      </c>
      <c r="CL4" s="31">
        <v>39487</v>
      </c>
      <c r="CM4" s="31">
        <v>39517</v>
      </c>
      <c r="CN4" s="31">
        <v>39549</v>
      </c>
      <c r="CO4" s="31">
        <v>39576</v>
      </c>
      <c r="CP4" s="31">
        <v>39606</v>
      </c>
      <c r="CQ4" s="31">
        <v>39637</v>
      </c>
      <c r="CR4" s="31">
        <v>39668</v>
      </c>
      <c r="CS4" s="31">
        <v>39699</v>
      </c>
      <c r="CT4" s="31">
        <v>39729</v>
      </c>
      <c r="CU4" s="31">
        <v>39760</v>
      </c>
      <c r="CV4" s="31">
        <v>39791</v>
      </c>
      <c r="CW4" s="31">
        <v>39814</v>
      </c>
      <c r="CX4" s="31">
        <v>39846</v>
      </c>
      <c r="CY4" s="31">
        <v>39875</v>
      </c>
      <c r="CZ4" s="31">
        <v>39912</v>
      </c>
      <c r="DA4" s="31">
        <v>39943</v>
      </c>
      <c r="DB4" s="31">
        <v>39975</v>
      </c>
      <c r="DC4" s="31">
        <v>40006</v>
      </c>
      <c r="DD4" s="31">
        <v>40034</v>
      </c>
      <c r="DE4" s="31">
        <v>40066</v>
      </c>
      <c r="DF4" s="31">
        <v>40097</v>
      </c>
      <c r="DG4" s="31">
        <v>40129</v>
      </c>
      <c r="DH4" s="31">
        <v>40160</v>
      </c>
      <c r="DI4" s="31">
        <v>40192</v>
      </c>
      <c r="DJ4" s="31">
        <v>40224</v>
      </c>
      <c r="DK4" s="31">
        <v>40253</v>
      </c>
      <c r="DL4" s="31">
        <v>40285</v>
      </c>
      <c r="DM4" s="31">
        <v>40315</v>
      </c>
      <c r="DN4" s="31">
        <v>40347</v>
      </c>
      <c r="DO4" s="31">
        <v>40369</v>
      </c>
      <c r="DP4" s="31">
        <v>40401</v>
      </c>
      <c r="DQ4" s="31">
        <v>40433</v>
      </c>
      <c r="DR4" s="31">
        <v>40464</v>
      </c>
      <c r="DS4" s="31">
        <v>40496</v>
      </c>
      <c r="DT4" s="31">
        <v>40527</v>
      </c>
      <c r="DU4" s="31">
        <v>40554</v>
      </c>
      <c r="DV4" s="30">
        <v>40586</v>
      </c>
      <c r="DW4" s="30">
        <v>40615</v>
      </c>
      <c r="DX4" s="30">
        <v>40647</v>
      </c>
      <c r="DY4" s="30">
        <v>40678</v>
      </c>
      <c r="DZ4" s="30">
        <v>40705</v>
      </c>
      <c r="EA4" s="30">
        <v>40736</v>
      </c>
      <c r="EB4" s="30">
        <v>40768</v>
      </c>
      <c r="EC4" s="30">
        <v>40800</v>
      </c>
      <c r="ED4" s="30">
        <v>40831</v>
      </c>
      <c r="EE4" s="30">
        <v>40863</v>
      </c>
      <c r="EF4" s="30">
        <v>40894</v>
      </c>
      <c r="EG4" s="30">
        <v>40926</v>
      </c>
      <c r="EH4" s="30">
        <v>40958</v>
      </c>
      <c r="EI4" s="30">
        <v>40988</v>
      </c>
      <c r="EJ4" s="30">
        <v>41011</v>
      </c>
      <c r="EK4" s="30">
        <v>41042</v>
      </c>
      <c r="EL4" s="30">
        <v>41074</v>
      </c>
      <c r="EM4" s="30">
        <v>41105</v>
      </c>
      <c r="EN4" s="30">
        <v>41137</v>
      </c>
      <c r="EO4" s="30">
        <v>41169</v>
      </c>
      <c r="EP4" s="30">
        <v>41200</v>
      </c>
      <c r="EQ4" s="30">
        <v>41232</v>
      </c>
      <c r="ER4" s="30">
        <v>41263</v>
      </c>
      <c r="ES4" s="30">
        <v>41294</v>
      </c>
      <c r="ET4" s="30">
        <v>41333</v>
      </c>
      <c r="EU4" s="30">
        <v>41364</v>
      </c>
      <c r="EV4" s="30">
        <v>41394</v>
      </c>
      <c r="EW4" s="30">
        <v>41425</v>
      </c>
      <c r="EX4" s="30">
        <v>41455</v>
      </c>
      <c r="EY4" s="30">
        <v>41486</v>
      </c>
      <c r="EZ4" s="30">
        <v>41516</v>
      </c>
      <c r="FA4" s="30">
        <v>41547</v>
      </c>
      <c r="FB4" s="30">
        <v>41578</v>
      </c>
      <c r="FC4" s="30">
        <v>41607</v>
      </c>
      <c r="FD4" s="55">
        <v>41639</v>
      </c>
      <c r="FE4" s="55">
        <v>41670</v>
      </c>
      <c r="FF4" s="55">
        <v>41698</v>
      </c>
      <c r="FG4" s="55">
        <v>41729</v>
      </c>
      <c r="FH4" s="55">
        <v>41759</v>
      </c>
      <c r="FI4" s="55">
        <v>41790</v>
      </c>
      <c r="FJ4" s="55">
        <v>41820</v>
      </c>
      <c r="FK4" s="55">
        <v>41850</v>
      </c>
      <c r="FL4" s="55">
        <v>41880</v>
      </c>
      <c r="FM4" s="55">
        <v>41912</v>
      </c>
      <c r="FN4" s="55">
        <v>41943</v>
      </c>
      <c r="FO4" s="55">
        <v>41971</v>
      </c>
      <c r="FP4" s="55">
        <v>42004</v>
      </c>
      <c r="FQ4" s="55">
        <v>42035</v>
      </c>
      <c r="FR4" s="55">
        <v>42062</v>
      </c>
      <c r="FS4" s="55">
        <v>42094</v>
      </c>
      <c r="FT4" s="55">
        <v>42124</v>
      </c>
      <c r="FU4" s="55">
        <v>42153</v>
      </c>
      <c r="FV4" s="55">
        <v>42185</v>
      </c>
      <c r="FW4" s="55">
        <v>42216</v>
      </c>
      <c r="FX4" s="55">
        <v>42247</v>
      </c>
      <c r="FY4" s="55">
        <v>42277</v>
      </c>
      <c r="FZ4" s="55">
        <v>42308</v>
      </c>
      <c r="GA4" s="55">
        <v>42338</v>
      </c>
      <c r="GB4" s="55">
        <v>42369</v>
      </c>
      <c r="GC4" s="55">
        <v>42398</v>
      </c>
      <c r="GD4" s="55">
        <v>42429</v>
      </c>
      <c r="GE4" s="55">
        <v>42430</v>
      </c>
      <c r="GF4" s="55">
        <v>42461</v>
      </c>
      <c r="GG4" s="55">
        <v>42491</v>
      </c>
      <c r="GH4" s="55">
        <v>42522</v>
      </c>
      <c r="GI4" s="55">
        <v>42552</v>
      </c>
      <c r="GJ4" s="55">
        <v>42613</v>
      </c>
      <c r="GK4" s="55">
        <v>42614</v>
      </c>
      <c r="GL4" s="55">
        <v>42644</v>
      </c>
      <c r="GM4" s="55">
        <v>42675</v>
      </c>
      <c r="GN4" s="55">
        <v>42705</v>
      </c>
      <c r="GO4" s="55">
        <v>42736</v>
      </c>
      <c r="GP4" s="55">
        <v>42767</v>
      </c>
      <c r="GQ4" s="55">
        <v>42795</v>
      </c>
      <c r="GR4" s="55">
        <v>42826</v>
      </c>
      <c r="GS4" s="55">
        <v>42856</v>
      </c>
      <c r="GT4" s="55">
        <v>42887</v>
      </c>
      <c r="GU4" s="55">
        <v>42917</v>
      </c>
      <c r="GV4" s="55">
        <v>42948</v>
      </c>
      <c r="GW4" s="55">
        <v>42979</v>
      </c>
      <c r="GX4" s="55">
        <v>43009</v>
      </c>
      <c r="GY4" s="55">
        <v>43040</v>
      </c>
      <c r="GZ4" s="55">
        <v>43070</v>
      </c>
      <c r="HA4" s="55">
        <v>43101</v>
      </c>
      <c r="HB4" s="55">
        <v>43132</v>
      </c>
      <c r="HC4" s="55">
        <v>43160</v>
      </c>
      <c r="HD4" s="55">
        <v>43191</v>
      </c>
      <c r="HE4" s="55">
        <v>43222</v>
      </c>
      <c r="HF4" s="55">
        <v>43253</v>
      </c>
      <c r="HG4" s="55">
        <v>43283</v>
      </c>
      <c r="HH4" s="55">
        <v>43315</v>
      </c>
      <c r="HI4" s="55">
        <v>43347</v>
      </c>
      <c r="HJ4" s="55">
        <v>43378</v>
      </c>
      <c r="HK4" s="55">
        <v>43409</v>
      </c>
      <c r="HL4" s="55">
        <v>43440</v>
      </c>
      <c r="HM4" s="55">
        <v>43472</v>
      </c>
      <c r="HN4" s="55">
        <v>43504</v>
      </c>
      <c r="HO4" s="55">
        <v>43533</v>
      </c>
      <c r="HP4" s="55">
        <v>43565</v>
      </c>
      <c r="HQ4" s="55">
        <v>43596</v>
      </c>
      <c r="HR4" s="55">
        <v>43628</v>
      </c>
      <c r="HS4" s="55">
        <v>43659</v>
      </c>
      <c r="HT4" s="55">
        <v>43690</v>
      </c>
      <c r="HU4" s="55">
        <v>43721</v>
      </c>
      <c r="HV4" s="55">
        <v>43752</v>
      </c>
      <c r="HW4" s="55">
        <v>43784</v>
      </c>
      <c r="HX4" s="55">
        <v>43815</v>
      </c>
      <c r="HY4" s="55">
        <v>43847</v>
      </c>
      <c r="HZ4" s="55">
        <v>43879</v>
      </c>
      <c r="IA4" s="55">
        <v>43909</v>
      </c>
      <c r="IB4" s="55">
        <v>43941</v>
      </c>
      <c r="IC4" s="55">
        <v>43972</v>
      </c>
      <c r="ID4" s="55">
        <v>44004</v>
      </c>
      <c r="IE4" s="55">
        <v>44035</v>
      </c>
      <c r="IF4" s="55">
        <v>44067</v>
      </c>
      <c r="IG4" s="55">
        <v>44099</v>
      </c>
      <c r="IH4" s="55">
        <v>44130</v>
      </c>
      <c r="II4" s="55">
        <v>44162</v>
      </c>
      <c r="IJ4" s="55">
        <v>44193</v>
      </c>
      <c r="IK4" s="55">
        <v>44225</v>
      </c>
      <c r="IL4" s="55">
        <v>44254</v>
      </c>
      <c r="IM4" s="55">
        <v>44286</v>
      </c>
      <c r="IN4" s="55">
        <v>44287</v>
      </c>
      <c r="IO4" s="55">
        <v>44318</v>
      </c>
      <c r="IP4" s="55">
        <v>44350</v>
      </c>
      <c r="IQ4" s="55">
        <v>44381</v>
      </c>
      <c r="IR4" s="55">
        <v>44413</v>
      </c>
      <c r="IS4" s="55">
        <v>44445</v>
      </c>
      <c r="IT4" s="55">
        <v>44476</v>
      </c>
      <c r="IU4" s="55">
        <v>44508</v>
      </c>
      <c r="IV4" s="55">
        <v>44539</v>
      </c>
      <c r="IW4" s="55">
        <v>44571</v>
      </c>
      <c r="IX4" s="55">
        <v>44603</v>
      </c>
      <c r="IY4" s="55">
        <v>44635</v>
      </c>
      <c r="IZ4" s="55">
        <v>44667</v>
      </c>
      <c r="JA4" s="55">
        <v>44699</v>
      </c>
      <c r="JB4" s="55">
        <v>44731</v>
      </c>
      <c r="JC4" s="55">
        <v>44763</v>
      </c>
      <c r="JD4" s="55">
        <v>44795</v>
      </c>
      <c r="JE4" s="55">
        <v>44827</v>
      </c>
      <c r="JF4" s="55">
        <v>44859</v>
      </c>
      <c r="JG4" s="55">
        <v>44891</v>
      </c>
      <c r="JH4" s="55">
        <v>44922</v>
      </c>
    </row>
    <row r="5" spans="1:268" ht="21" customHeight="1" thickTop="1" x14ac:dyDescent="0.25">
      <c r="A5" s="24" t="s">
        <v>1</v>
      </c>
      <c r="B5" s="3"/>
      <c r="C5" s="15"/>
      <c r="D5" s="15"/>
      <c r="E5" s="15"/>
      <c r="F5" s="15"/>
      <c r="G5" s="15"/>
      <c r="H5" s="15"/>
      <c r="I5" s="71"/>
      <c r="J5" s="71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  <c r="IU5" s="92"/>
      <c r="IV5" s="92"/>
      <c r="IW5" s="92"/>
      <c r="IX5" s="92"/>
      <c r="IY5" s="92"/>
      <c r="IZ5" s="92"/>
      <c r="JA5" s="92"/>
      <c r="JB5" s="92"/>
      <c r="JC5" s="92"/>
      <c r="JD5" s="92"/>
      <c r="JE5" s="92"/>
      <c r="JF5" s="92"/>
      <c r="JG5" s="92"/>
      <c r="JH5" s="92"/>
    </row>
    <row r="6" spans="1:268" ht="23.25" customHeight="1" x14ac:dyDescent="0.2">
      <c r="A6" s="22" t="s">
        <v>2</v>
      </c>
      <c r="B6" s="4" t="s">
        <v>16</v>
      </c>
      <c r="C6" s="72">
        <v>1.54</v>
      </c>
      <c r="D6" s="10">
        <v>1.79</v>
      </c>
      <c r="E6" s="10">
        <f>1/0.5462</f>
        <v>1.8308311973636031</v>
      </c>
      <c r="F6" s="10">
        <f>1/0.5233</f>
        <v>1.9109497420217849</v>
      </c>
      <c r="G6" s="10">
        <f>1/0.4913</f>
        <v>2.0354162426216162</v>
      </c>
      <c r="H6" s="10">
        <f>1/0.5084</f>
        <v>1.966955153422502</v>
      </c>
      <c r="I6" s="10">
        <v>1.95</v>
      </c>
      <c r="J6" s="10">
        <v>1.94</v>
      </c>
      <c r="K6" s="10">
        <v>1.99</v>
      </c>
      <c r="L6" s="10">
        <v>1.87</v>
      </c>
      <c r="M6" s="10">
        <v>2.0499999999999998</v>
      </c>
      <c r="N6" s="10">
        <v>2</v>
      </c>
      <c r="O6" s="10">
        <f>1/0.5188</f>
        <v>1.9275250578257517</v>
      </c>
      <c r="P6" s="10">
        <f>1/0.5105</f>
        <v>1.9588638589618024</v>
      </c>
      <c r="Q6" s="10">
        <f>1/0.5062</f>
        <v>1.9755037534571316</v>
      </c>
      <c r="R6" s="10">
        <f>1/0.5159</f>
        <v>1.9383601473153711</v>
      </c>
      <c r="S6" s="10">
        <f>1/0.5325</f>
        <v>1.8779342723004695</v>
      </c>
      <c r="T6" s="10">
        <f>1/0.5445</f>
        <v>1.8365472910927456</v>
      </c>
      <c r="U6" s="10">
        <f>1/0.5649</f>
        <v>1.7702248185519562</v>
      </c>
      <c r="V6" s="10">
        <f>1/0.5645</f>
        <v>1.7714791851195748</v>
      </c>
      <c r="W6" s="10">
        <f>1/0.5447</f>
        <v>1.8358729575913348</v>
      </c>
      <c r="X6" s="10">
        <f>1/0.552</f>
        <v>1.8115942028985506</v>
      </c>
      <c r="Y6" s="10">
        <f>1/0.5435</f>
        <v>1.8399264029438822</v>
      </c>
      <c r="Z6" s="10">
        <f>1/0.5586</f>
        <v>1.7901897601145722</v>
      </c>
      <c r="AA6" s="10">
        <f>1/0.5608</f>
        <v>1.783166904422254</v>
      </c>
      <c r="AB6" s="10">
        <f>1/0.562</f>
        <v>1.779359430604982</v>
      </c>
      <c r="AC6" s="10">
        <v>1.7060999999999999</v>
      </c>
      <c r="AD6" s="10">
        <f>1/0.6049</f>
        <v>1.6531658125309969</v>
      </c>
      <c r="AE6" s="10">
        <f>1/0.6011</f>
        <v>1.6636167027116953</v>
      </c>
      <c r="AF6" s="10">
        <f>1/0.6235</f>
        <v>1.6038492381716116</v>
      </c>
      <c r="AG6" s="10">
        <f>1/0.6531</f>
        <v>1.5311590874291838</v>
      </c>
      <c r="AH6" s="10">
        <f>1/0.6659</f>
        <v>1.5017269860339388</v>
      </c>
      <c r="AI6" s="10">
        <f>1/0.6529</f>
        <v>1.5316281206922959</v>
      </c>
      <c r="AJ6" s="10">
        <f>1/0.64</f>
        <v>1.5625</v>
      </c>
      <c r="AK6" s="10">
        <f>1/0.6772</f>
        <v>1.4766686355581806</v>
      </c>
      <c r="AL6" s="10">
        <f>1/0.7064</f>
        <v>1.4156285390713477</v>
      </c>
      <c r="AM6" s="10">
        <f>1/0.721</f>
        <v>1.3869625520110958</v>
      </c>
      <c r="AN6" s="10">
        <f>1/0.7484</f>
        <v>1.3361838588989845</v>
      </c>
      <c r="AO6" s="10">
        <f>1/0.7614</f>
        <v>1.3133701076963489</v>
      </c>
      <c r="AP6" s="10">
        <f>1/0.771</f>
        <v>1.2970168612191959</v>
      </c>
      <c r="AQ6" s="10">
        <f>1/0.7546</f>
        <v>1.3252054068380599</v>
      </c>
      <c r="AR6" s="10">
        <f>1/0.7192</f>
        <v>1.3904338153503895</v>
      </c>
      <c r="AS6" s="10">
        <f>1/0.7133</f>
        <v>1.4019346698443851</v>
      </c>
      <c r="AT6" s="10">
        <f>1/0.6895</f>
        <v>1.4503263234227701</v>
      </c>
      <c r="AU6" s="10">
        <f>1/0.6983</f>
        <v>1.4320492624946297</v>
      </c>
      <c r="AV6" s="10">
        <f>1/0.7</f>
        <v>1.4285714285714286</v>
      </c>
      <c r="AW6" s="10">
        <f>1/0.7165</f>
        <v>1.3956734124214933</v>
      </c>
      <c r="AX6" s="10">
        <f>1/0.7165</f>
        <v>1.3956734124214933</v>
      </c>
      <c r="AY6" s="10">
        <f>1/0.7806</f>
        <v>1.2810658467845248</v>
      </c>
      <c r="AZ6" s="10">
        <f>1/0.7652</f>
        <v>1.3068478829064296</v>
      </c>
      <c r="BA6" s="10">
        <f>1/0.7748</f>
        <v>1.2906556530717603</v>
      </c>
      <c r="BB6" s="10">
        <f>1/0.7721</f>
        <v>1.2951690195570522</v>
      </c>
      <c r="BC6" s="10">
        <f>1/0.7714</f>
        <v>1.2963443090484834</v>
      </c>
      <c r="BD6" s="10">
        <f>1/0.7773</f>
        <v>1.2865045670912132</v>
      </c>
      <c r="BE6" s="10">
        <f>1/0.759</f>
        <v>1.3175230566534915</v>
      </c>
      <c r="BF6" s="10">
        <f>1/0.7635</f>
        <v>1.3097576948264571</v>
      </c>
      <c r="BG6" s="10">
        <f>1/0.7562</f>
        <v>1.3224014810896589</v>
      </c>
      <c r="BH6" s="10">
        <f>1/0.747</f>
        <v>1.3386880856760375</v>
      </c>
      <c r="BI6" s="10">
        <f>1/0.76</f>
        <v>1.3157894736842106</v>
      </c>
      <c r="BJ6" s="10">
        <f>1/0.7567</f>
        <v>1.3215276860050218</v>
      </c>
      <c r="BK6" s="10">
        <f>1/0.7375</f>
        <v>1.3559322033898304</v>
      </c>
      <c r="BL6" s="10">
        <f>1/0.7315</f>
        <v>1.367053998632946</v>
      </c>
      <c r="BM6" s="10">
        <f>1/0.7489</f>
        <v>1.3352917612498332</v>
      </c>
      <c r="BN6" s="10">
        <f>1/0.7377</f>
        <v>1.3555645926528399</v>
      </c>
      <c r="BO6" s="10">
        <f>1/0.7148</f>
        <v>1.3989927252378287</v>
      </c>
      <c r="BP6" s="10">
        <f>1/0.7561</f>
        <v>1.3225763787858749</v>
      </c>
      <c r="BQ6" s="10">
        <f>1/0.7611</f>
        <v>1.3138877939823939</v>
      </c>
      <c r="BR6" s="10">
        <f>1/0.739</f>
        <v>1.3531799729364005</v>
      </c>
      <c r="BS6" s="10">
        <f>1/0.7654</f>
        <v>1.3065064018813692</v>
      </c>
      <c r="BT6" s="10">
        <f>1/0.763</f>
        <v>1.310615989515072</v>
      </c>
      <c r="BU6" s="10">
        <f>1/0.751</f>
        <v>1.3315579227696406</v>
      </c>
      <c r="BV6" s="10">
        <f>1/0.7638</f>
        <v>1.3092432573972244</v>
      </c>
      <c r="BW6" s="10">
        <f>1/0.7831</f>
        <v>1.2769761205465457</v>
      </c>
      <c r="BX6" s="10">
        <f>1/0.7904</f>
        <v>1.2651821862348178</v>
      </c>
      <c r="BY6" s="10">
        <f>1/0.7719</f>
        <v>1.2955045990413265</v>
      </c>
      <c r="BZ6" s="10">
        <v>1.2708095056551023</v>
      </c>
      <c r="CA6" s="10">
        <f>1/0.8078</f>
        <v>1.2379301807378065</v>
      </c>
      <c r="CB6" s="10">
        <f>1/0.8264</f>
        <v>1.2100677637947725</v>
      </c>
      <c r="CC6" s="10">
        <f>1/0.8226</f>
        <v>1.2156576707999027</v>
      </c>
      <c r="CD6" s="10">
        <f>1/0.8474</f>
        <v>1.180080245456691</v>
      </c>
      <c r="CE6" s="10">
        <f>1/0.8601</f>
        <v>1.162655505173817</v>
      </c>
      <c r="CF6" s="10">
        <f>1/0.8162</f>
        <v>1.2251899044351875</v>
      </c>
      <c r="CG6" s="10">
        <f>1/0.881</f>
        <v>1.1350737797956867</v>
      </c>
      <c r="CH6" s="10">
        <f>1/0.9217</f>
        <v>1.0849517196484757</v>
      </c>
      <c r="CI6" s="10">
        <f>1/0.8853</f>
        <v>1.1295606009262398</v>
      </c>
      <c r="CJ6" s="10">
        <f>1/0.8797</f>
        <v>1.1367511651699442</v>
      </c>
      <c r="CK6" s="10">
        <f>1/0.8901</f>
        <v>1.1234692731153804</v>
      </c>
      <c r="CL6" s="10">
        <f>1/0.9454</f>
        <v>1.0577533319229955</v>
      </c>
      <c r="CM6" s="10">
        <f>1/0.9146</f>
        <v>1.0933741526350318</v>
      </c>
      <c r="CN6" s="10">
        <f>1/0.9323</f>
        <v>1.0726161106939827</v>
      </c>
      <c r="CO6" s="10">
        <v>1.0462</v>
      </c>
      <c r="CP6" s="10">
        <f>1/0.9624</f>
        <v>1.0390689941812137</v>
      </c>
      <c r="CQ6" s="10">
        <f>1/0.9438</f>
        <v>1.0595465140919686</v>
      </c>
      <c r="CR6" s="10">
        <f>1/0.8626</f>
        <v>1.1592858798979828</v>
      </c>
      <c r="CS6" s="10">
        <f>1/0.8367</f>
        <v>1.1951715071112705</v>
      </c>
      <c r="CT6" s="10">
        <f>1/0.676</f>
        <v>1.4792899408284024</v>
      </c>
      <c r="CU6" s="10">
        <f>1/0.6556</f>
        <v>1.5253203172666261</v>
      </c>
      <c r="CV6" s="10">
        <f>1/0.6905</f>
        <v>1.448225923244026</v>
      </c>
      <c r="CW6" s="10">
        <f>1/0.6482</f>
        <v>1.5427337241592101</v>
      </c>
      <c r="CX6" s="10">
        <f>1/0.6449</f>
        <v>1.5506280043417584</v>
      </c>
      <c r="CY6" s="10">
        <f>1/0.6808</f>
        <v>1.4688601645123385</v>
      </c>
      <c r="CZ6" s="10">
        <f>1/0.7254</f>
        <v>1.3785497656465397</v>
      </c>
      <c r="DA6" s="10">
        <f>1/0.7858</f>
        <v>1.2725884448969202</v>
      </c>
      <c r="DB6" s="10">
        <f>1/0.8103</f>
        <v>1.2341108231519191</v>
      </c>
      <c r="DC6" s="10">
        <f>1/0.8268</f>
        <v>1.2094823415578133</v>
      </c>
      <c r="DD6" s="10">
        <f>1/0.8429</f>
        <v>1.1863803535413453</v>
      </c>
      <c r="DE6" s="10">
        <f>1/0.8746</f>
        <v>1.1433798307797849</v>
      </c>
      <c r="DF6" s="10">
        <f>1/0.9143</f>
        <v>1.0937329104232747</v>
      </c>
      <c r="DG6" s="10">
        <f>1/0.9125</f>
        <v>1.095890410958904</v>
      </c>
      <c r="DH6" s="10">
        <f>1/0.8971</f>
        <v>1.1147029316687103</v>
      </c>
      <c r="DI6" s="10">
        <f>1/0.8913</f>
        <v>1.1219566924716706</v>
      </c>
      <c r="DJ6" s="10">
        <f>1/0.8868</f>
        <v>1.1276499774470004</v>
      </c>
      <c r="DK6" s="10">
        <f>1/0.9202</f>
        <v>1.0867202782003913</v>
      </c>
      <c r="DL6" s="10">
        <f>1/0.9261</f>
        <v>1.0797969981643452</v>
      </c>
      <c r="DM6" s="10">
        <f>1/0.8458</f>
        <v>1.1823126034523528</v>
      </c>
      <c r="DN6" s="10">
        <f>1/0.849</f>
        <v>1.1778563015312131</v>
      </c>
      <c r="DO6" s="10">
        <f>1/0.8994</f>
        <v>1.1118523460084502</v>
      </c>
      <c r="DP6" s="10">
        <f>1/0.8911</f>
        <v>1.1222085063404781</v>
      </c>
      <c r="DQ6" s="10">
        <f>1/0.9692</f>
        <v>1.0317787866281469</v>
      </c>
      <c r="DR6" s="10">
        <f>1/0.9736</f>
        <v>1.0271158586688578</v>
      </c>
      <c r="DS6" s="10">
        <f>1/0.9618</f>
        <v>1.039717196922437</v>
      </c>
      <c r="DT6" s="10">
        <f>1/1.0156</f>
        <v>0.98463962189838516</v>
      </c>
      <c r="DU6" s="10">
        <f>1/0.988</f>
        <v>1.0121457489878543</v>
      </c>
      <c r="DV6" s="10">
        <f>1/1.0137</f>
        <v>0.98648515339844134</v>
      </c>
      <c r="DW6" s="10">
        <f>1/1.0313</f>
        <v>0.96964995636575191</v>
      </c>
      <c r="DX6" s="10">
        <f>1/1.0935</f>
        <v>0.91449474165523559</v>
      </c>
      <c r="DY6" s="10">
        <f>1/1.0717</f>
        <v>0.93309694877297744</v>
      </c>
      <c r="DZ6" s="10">
        <f>1/1.0706</f>
        <v>0.9340556697179152</v>
      </c>
      <c r="EA6" s="10">
        <f>1/1.099</f>
        <v>0.90991810737033674</v>
      </c>
      <c r="EB6" s="10">
        <f>1/1.0674</f>
        <v>0.93685591156080206</v>
      </c>
      <c r="EC6" s="10">
        <f>1/0.9803</f>
        <v>1.0200958890135674</v>
      </c>
      <c r="ED6" s="10">
        <f>1/1.0701</f>
        <v>0.93449210354172507</v>
      </c>
      <c r="EE6" s="10">
        <f>1/1.003</f>
        <v>0.99700897308075787</v>
      </c>
      <c r="EF6" s="10">
        <f>1/1.0146</f>
        <v>0.98561009264734878</v>
      </c>
      <c r="EG6" s="10">
        <f>1/1.0584</f>
        <v>0.94482237339380193</v>
      </c>
      <c r="EH6" s="10">
        <f>1/1.0795</f>
        <v>0.92635479388605846</v>
      </c>
      <c r="EI6" s="10">
        <f>1/1.0375</f>
        <v>0.96385542168674687</v>
      </c>
      <c r="EJ6" s="10">
        <f>1/1.0446</f>
        <v>0.95730423128470232</v>
      </c>
      <c r="EK6" s="10">
        <f>1/1.09681</f>
        <v>0.91173494041812164</v>
      </c>
      <c r="EL6" s="10">
        <f>1/1.0025</f>
        <v>0.99750623441396513</v>
      </c>
      <c r="EM6" s="10">
        <f>1/1.0497</f>
        <v>0.95265313899209292</v>
      </c>
      <c r="EN6" s="10">
        <f>1/1.0288</f>
        <v>0.97200622083981347</v>
      </c>
      <c r="EO6" s="10">
        <f>1/1.0436</f>
        <v>0.95822154082023758</v>
      </c>
      <c r="EP6" s="10">
        <f>1/1.0335</f>
        <v>0.96758587324625056</v>
      </c>
      <c r="EQ6" s="10">
        <f>1/1.0428</f>
        <v>0.95895665515918682</v>
      </c>
      <c r="ER6" s="10">
        <f>1/1.0389</f>
        <v>0.96255655019732411</v>
      </c>
      <c r="ES6" s="10">
        <f>1/1.0416</f>
        <v>0.96006144393241155</v>
      </c>
      <c r="ET6" s="10">
        <f>1/1.0232</f>
        <v>0.97732603596559797</v>
      </c>
      <c r="EU6" s="47">
        <f>1/1.0415</f>
        <v>0.9601536245799327</v>
      </c>
      <c r="EV6" s="47">
        <f>1/1.0341</f>
        <v>0.96702446571898271</v>
      </c>
      <c r="EW6" s="47">
        <f>1/0.9668</f>
        <v>1.034340091021928</v>
      </c>
      <c r="EX6" s="47">
        <f>1/0.9262</f>
        <v>1.0796804145972791</v>
      </c>
      <c r="EY6" s="47">
        <f>1/0.9063</f>
        <v>1.1033873993158998</v>
      </c>
      <c r="EZ6" s="47">
        <f>1/0.892</f>
        <v>1.1210762331838564</v>
      </c>
      <c r="FA6" s="47">
        <f>1/0.929</f>
        <v>1.0764262648008611</v>
      </c>
      <c r="FB6" s="47">
        <f>1/0.9469</f>
        <v>1.0560777273207309</v>
      </c>
      <c r="FC6" s="47">
        <f>1/0.9082</f>
        <v>1.1010790574763267</v>
      </c>
      <c r="FD6" s="57">
        <f>1/0.8921</f>
        <v>1.1209505660800358</v>
      </c>
      <c r="FE6" s="57">
        <f>1/0.8793</f>
        <v>1.1372682815876265</v>
      </c>
      <c r="FF6" s="57">
        <f>1/0.8965</f>
        <v>1.1154489682097044</v>
      </c>
      <c r="FG6" s="57">
        <f>1/0.9237</f>
        <v>1.0826025765941323</v>
      </c>
      <c r="FH6" s="57">
        <f>1/0.9276</f>
        <v>1.0780508840017249</v>
      </c>
      <c r="FI6" s="57">
        <f>1/0.9302</f>
        <v>1.075037626316921</v>
      </c>
      <c r="FJ6" s="57">
        <f>1/0.9421</f>
        <v>1.0614584439019212</v>
      </c>
      <c r="FK6" s="57">
        <f>1/0.9323</f>
        <v>1.0726161106939827</v>
      </c>
      <c r="FL6" s="57">
        <f>1/0.9355</f>
        <v>1.0689470871191875</v>
      </c>
      <c r="FM6" s="57">
        <f>1/0.871</f>
        <v>1.1481056257175659</v>
      </c>
      <c r="FN6" s="57">
        <f>1/0.8823</f>
        <v>1.1334013374135783</v>
      </c>
      <c r="FO6" s="57">
        <f>1/0.852</f>
        <v>1.1737089201877935</v>
      </c>
      <c r="FP6" s="57">
        <f>1/0.8123</f>
        <v>1.2310722639418934</v>
      </c>
      <c r="FQ6" s="57">
        <f>1/0.778</f>
        <v>1.2853470437017995</v>
      </c>
      <c r="FR6" s="57">
        <f>1/0.7811</f>
        <v>1.2802458071949814</v>
      </c>
      <c r="FS6" s="57">
        <f>1/0.7659</f>
        <v>1.3056534795665231</v>
      </c>
      <c r="FT6" s="57">
        <f>1/0.7997</f>
        <v>1.2504689258471928</v>
      </c>
      <c r="FU6" s="57">
        <f>1/0.7655</f>
        <v>1.3063357282821686</v>
      </c>
      <c r="FV6" s="57">
        <f>1/0.7676</f>
        <v>1.3027618551328819</v>
      </c>
      <c r="FW6" s="57">
        <f>1/0.7294</f>
        <v>1.3709898546750754</v>
      </c>
      <c r="FX6" s="57">
        <f>1/0.7144</f>
        <v>1.3997760358342664</v>
      </c>
      <c r="FY6" s="57">
        <f>1/0.7007</f>
        <v>1.4271442842871414</v>
      </c>
      <c r="FZ6" s="57">
        <f>1/0.71</f>
        <v>1.4084507042253522</v>
      </c>
      <c r="GA6" s="57">
        <f>1/0.7183</f>
        <v>1.3921759710427397</v>
      </c>
      <c r="GB6" s="57">
        <f>1/0.7283</f>
        <v>1.373060551970342</v>
      </c>
      <c r="GC6" s="57">
        <f>1/0.7076</f>
        <v>1.4132278123233466</v>
      </c>
      <c r="GD6" s="57">
        <f>1/0.7112</f>
        <v>1.4060742407199098</v>
      </c>
      <c r="GE6" s="57">
        <f>1/0.7663</f>
        <v>1.3049719431032234</v>
      </c>
      <c r="GF6" s="57">
        <f>1/0.7633</f>
        <v>1.3101008777675882</v>
      </c>
      <c r="GG6" s="57">
        <f>1/0.7198</f>
        <v>1.3892747985551541</v>
      </c>
      <c r="GH6" s="57">
        <f>1/0.7463</f>
        <v>1.3399437223636608</v>
      </c>
      <c r="GI6" s="57">
        <f>1/0.751</f>
        <v>1.3315579227696406</v>
      </c>
      <c r="GJ6" s="57">
        <f>1/0.7521</f>
        <v>1.3296104241457254</v>
      </c>
      <c r="GK6" s="57">
        <f>1/0.7691</f>
        <v>1.3002210375763881</v>
      </c>
      <c r="GL6" s="57">
        <f>1/0.7587</f>
        <v>1.3180440226703571</v>
      </c>
      <c r="GM6" s="57">
        <f>1/0.7489</f>
        <v>1.3352917612498332</v>
      </c>
      <c r="GN6" s="57">
        <f>1/0.7235</f>
        <v>1.38217000691085</v>
      </c>
      <c r="GO6" s="57">
        <f>1/0.7561</f>
        <v>1.3225763787858749</v>
      </c>
      <c r="GP6" s="57">
        <f>1/0.7674</f>
        <v>1.3031013812874641</v>
      </c>
      <c r="GQ6" s="57">
        <f>1/0.7643</f>
        <v>1.3083867591259977</v>
      </c>
      <c r="GR6" s="57">
        <f>1/0.7466</f>
        <v>1.339405304045004</v>
      </c>
      <c r="GS6" s="57">
        <f>1/0.7465</f>
        <v>1.3395847287340923</v>
      </c>
      <c r="GT6" s="57">
        <f>1/0.7693</f>
        <v>1.2998830105290524</v>
      </c>
      <c r="GU6" s="57">
        <f>1/0.7973</f>
        <v>1.2542330364981813</v>
      </c>
      <c r="GV6" s="57">
        <f>1/0.7904</f>
        <v>1.2651821862348178</v>
      </c>
      <c r="GW6" s="57">
        <f>1/0.7847</f>
        <v>1.2743723716069837</v>
      </c>
      <c r="GX6" s="57">
        <f>1/0.7692</f>
        <v>1.3000520020800832</v>
      </c>
      <c r="GY6" s="57">
        <f>1/0.7567</f>
        <v>1.3215276860050218</v>
      </c>
      <c r="GZ6" s="57">
        <f>1/0.7795</f>
        <v>1.2828736369467608</v>
      </c>
      <c r="HA6" s="57">
        <f>1/0.8099</f>
        <v>1.2347203358439314</v>
      </c>
      <c r="HB6" s="57">
        <f>1/0.7792</f>
        <v>1.2833675564681726</v>
      </c>
      <c r="HC6" s="57">
        <f>1/0.7685</f>
        <v>1.3012361743656475</v>
      </c>
      <c r="HD6" s="57">
        <f>1/0.7573</f>
        <v>1.3204806549584049</v>
      </c>
      <c r="HE6" s="57">
        <f>1/0.757</f>
        <v>1.321003963011889</v>
      </c>
      <c r="HF6" s="57">
        <f>1/0.7348</f>
        <v>1.3609145345672291</v>
      </c>
      <c r="HG6" s="57">
        <f>1/0.7411</f>
        <v>1.3493455673998112</v>
      </c>
      <c r="HH6" s="57">
        <f>1/0.7257</f>
        <v>1.3779798814937301</v>
      </c>
      <c r="HI6" s="57">
        <f>1/0.7205</f>
        <v>1.3879250520471893</v>
      </c>
      <c r="HJ6" s="57">
        <f>1/0.7103</f>
        <v>1.4078558355624384</v>
      </c>
      <c r="HK6" s="93">
        <v>1.3661202185792349</v>
      </c>
      <c r="HL6" s="93">
        <v>1.4186409419775856</v>
      </c>
      <c r="HM6" s="93">
        <v>1.3768415255404105</v>
      </c>
      <c r="HN6" s="93">
        <v>1.3970382788488405</v>
      </c>
      <c r="HO6" s="93">
        <v>1.4114326040931544</v>
      </c>
      <c r="HP6" s="93">
        <v>1.4176353841791891</v>
      </c>
      <c r="HQ6" s="93">
        <v>1.448225923244026</v>
      </c>
      <c r="HR6" s="93">
        <v>1.4271442842871414</v>
      </c>
      <c r="HS6" s="93">
        <v>1.4551804423748544</v>
      </c>
      <c r="HT6" s="93">
        <v>1.485001485001485</v>
      </c>
      <c r="HU6" s="93">
        <v>1.4788524105294292</v>
      </c>
      <c r="HV6" s="93">
        <v>1.4486455164421266</v>
      </c>
      <c r="HW6" s="93">
        <v>1.4773230905599055</v>
      </c>
      <c r="HX6" s="93">
        <v>1.4283673760891302</v>
      </c>
      <c r="HY6" s="93">
        <v>1.4900908955446281</v>
      </c>
      <c r="HZ6" s="93">
        <v>1.519756838905775</v>
      </c>
      <c r="IA6" s="93">
        <v>1.6196954972465178</v>
      </c>
      <c r="IB6" s="93">
        <v>1.5269506794930523</v>
      </c>
      <c r="IC6" s="93">
        <v>1.5085231558304419</v>
      </c>
      <c r="ID6" s="93">
        <v>1.4549687181725592</v>
      </c>
      <c r="IE6" s="93">
        <v>1.3883104262113009</v>
      </c>
      <c r="IF6" s="93">
        <v>1.3590649633052461</v>
      </c>
      <c r="IG6" s="93">
        <v>1.3993842709207949</v>
      </c>
      <c r="IH6" s="93">
        <v>1.404494382022472</v>
      </c>
      <c r="II6" s="93">
        <v>1.3513513513513513</v>
      </c>
      <c r="IJ6" s="93">
        <v>1.2988699831146902</v>
      </c>
      <c r="IK6" s="93">
        <v>1.3034410844629822</v>
      </c>
      <c r="IL6" s="93">
        <v>1.2750223128904756</v>
      </c>
      <c r="IM6" s="93">
        <v>1.3144058885383807</v>
      </c>
      <c r="IN6" s="93">
        <v>1.2817226352217379</v>
      </c>
      <c r="IO6" s="93">
        <v>1.2983640612827838</v>
      </c>
      <c r="IP6" s="93">
        <v>1.3301409949454641</v>
      </c>
      <c r="IQ6" s="93">
        <v>1.35189941868325</v>
      </c>
      <c r="IR6" s="93">
        <v>1.3713658804168953</v>
      </c>
      <c r="IS6" s="93">
        <v>1.3910140492418974</v>
      </c>
      <c r="IT6" s="93">
        <v>1.3324450366422387</v>
      </c>
      <c r="IU6" s="93">
        <v>1.3999720005599887</v>
      </c>
      <c r="IV6" s="93">
        <v>1.379690949227373</v>
      </c>
      <c r="IW6" s="93">
        <v>1.4289797084881395</v>
      </c>
      <c r="IX6" s="93">
        <v>1.3917884481558802</v>
      </c>
      <c r="IY6" s="93">
        <v>1.332267519317879</v>
      </c>
      <c r="IZ6" s="93">
        <v>1.4039028499227852</v>
      </c>
      <c r="JA6" s="93">
        <v>1.3900472616068946</v>
      </c>
      <c r="JB6" s="93">
        <v>1.4543339150668995</v>
      </c>
      <c r="JC6" s="93">
        <v>1.4291839359725598</v>
      </c>
      <c r="JD6" s="93">
        <v>1.4587892049598834</v>
      </c>
      <c r="JE6" s="93">
        <v>1.5358623867301489</v>
      </c>
      <c r="JF6" s="93">
        <v>1.5603058199407083</v>
      </c>
      <c r="JG6" s="93">
        <v>1.4985763524651581</v>
      </c>
      <c r="JH6" s="93">
        <v>1.4725371815638344</v>
      </c>
    </row>
    <row r="7" spans="1:268" ht="23.25" customHeight="1" x14ac:dyDescent="0.2">
      <c r="A7" s="22" t="s">
        <v>3</v>
      </c>
      <c r="B7" s="16" t="s">
        <v>29</v>
      </c>
      <c r="C7" s="73">
        <v>7.77</v>
      </c>
      <c r="D7" s="13">
        <v>7.798</v>
      </c>
      <c r="E7" s="9">
        <v>7.7995000000000001</v>
      </c>
      <c r="F7" s="9">
        <v>7.7995000000000001</v>
      </c>
      <c r="G7" s="13">
        <v>7.7991999999999999</v>
      </c>
      <c r="H7" s="13">
        <v>7.7990000000000004</v>
      </c>
      <c r="I7" s="11">
        <v>7.8</v>
      </c>
      <c r="J7" s="11">
        <v>7.8</v>
      </c>
      <c r="K7" s="11">
        <v>7.8</v>
      </c>
      <c r="L7" s="11">
        <v>7.8</v>
      </c>
      <c r="M7" s="11">
        <v>7.8</v>
      </c>
      <c r="N7" s="13">
        <v>7.7996999999999996</v>
      </c>
      <c r="O7" s="13">
        <v>7.7988</v>
      </c>
      <c r="P7" s="17">
        <v>7.7975000000000003</v>
      </c>
      <c r="Q7" s="17">
        <v>7.7988</v>
      </c>
      <c r="R7" s="17">
        <v>7.7988999999999997</v>
      </c>
      <c r="S7" s="17">
        <v>7.7990000000000004</v>
      </c>
      <c r="T7" s="17">
        <v>7.7991999999999999</v>
      </c>
      <c r="U7" s="74">
        <v>7.7979000000000003</v>
      </c>
      <c r="V7" s="74">
        <v>7.7990000000000004</v>
      </c>
      <c r="W7" s="74">
        <v>7.7996999999999996</v>
      </c>
      <c r="X7" s="17">
        <v>7.7998000000000003</v>
      </c>
      <c r="Y7" s="17">
        <v>7.7992999999999997</v>
      </c>
      <c r="Z7" s="17">
        <v>7.7991999999999999</v>
      </c>
      <c r="AA7" s="17">
        <v>7.7984999999999998</v>
      </c>
      <c r="AB7" s="17">
        <v>7.7983000000000002</v>
      </c>
      <c r="AC7" s="17">
        <v>7.7992999999999997</v>
      </c>
      <c r="AD7" s="17">
        <v>7.7987000000000002</v>
      </c>
      <c r="AE7" s="17">
        <v>7.7988999999999997</v>
      </c>
      <c r="AF7" s="17">
        <v>7.7991000000000001</v>
      </c>
      <c r="AG7" s="17">
        <v>7.7984</v>
      </c>
      <c r="AH7" s="17">
        <v>7.7979000000000003</v>
      </c>
      <c r="AI7" s="17">
        <v>7.7988999999999997</v>
      </c>
      <c r="AJ7" s="17">
        <v>7.7991000000000001</v>
      </c>
      <c r="AK7" s="17">
        <v>7.7483000000000004</v>
      </c>
      <c r="AL7" s="17">
        <v>7.7591000000000001</v>
      </c>
      <c r="AM7" s="17">
        <v>7.7659000000000002</v>
      </c>
      <c r="AN7" s="17">
        <v>7.7629999999999999</v>
      </c>
      <c r="AO7" s="17">
        <v>7.774</v>
      </c>
      <c r="AP7" s="17">
        <v>7.7839</v>
      </c>
      <c r="AQ7" s="17">
        <v>7.7960000000000003</v>
      </c>
      <c r="AR7" s="17">
        <v>7.7992999999999997</v>
      </c>
      <c r="AS7" s="17">
        <v>7.7934999999999999</v>
      </c>
      <c r="AT7" s="17">
        <v>7.7976999999999999</v>
      </c>
      <c r="AU7" s="17">
        <v>7.7990000000000004</v>
      </c>
      <c r="AV7" s="17">
        <v>7.7991999999999999</v>
      </c>
      <c r="AW7" s="17">
        <v>7.798</v>
      </c>
      <c r="AX7" s="17">
        <v>7.7773000000000003</v>
      </c>
      <c r="AY7" s="17">
        <v>7.7763</v>
      </c>
      <c r="AZ7" s="17">
        <v>7.7847999999999997</v>
      </c>
      <c r="BA7" s="17">
        <v>7.7986000000000004</v>
      </c>
      <c r="BB7" s="17">
        <v>7.7754000000000003</v>
      </c>
      <c r="BC7" s="17">
        <v>7.7988999999999997</v>
      </c>
      <c r="BD7" s="17">
        <v>7.7934999999999999</v>
      </c>
      <c r="BE7" s="17">
        <v>7.7797999999999998</v>
      </c>
      <c r="BF7" s="17">
        <v>7.7717999999999998</v>
      </c>
      <c r="BG7" s="17">
        <v>7.774</v>
      </c>
      <c r="BH7" s="17">
        <v>7.7710999999999997</v>
      </c>
      <c r="BI7" s="17">
        <v>7.7582000000000004</v>
      </c>
      <c r="BJ7" s="17">
        <v>7.7545999999999999</v>
      </c>
      <c r="BK7" s="17">
        <v>7.7538</v>
      </c>
      <c r="BL7" s="17">
        <v>7.7530000000000001</v>
      </c>
      <c r="BM7" s="17">
        <v>7.7558999999999996</v>
      </c>
      <c r="BN7" s="17">
        <v>7.7571000000000003</v>
      </c>
      <c r="BO7" s="17">
        <v>7.7594000000000003</v>
      </c>
      <c r="BP7" s="17">
        <v>7.7545000000000002</v>
      </c>
      <c r="BQ7" s="17">
        <v>7.7579000000000002</v>
      </c>
      <c r="BR7" s="17">
        <v>7.7667999999999999</v>
      </c>
      <c r="BS7" s="17">
        <v>7.7718999999999996</v>
      </c>
      <c r="BT7" s="17">
        <v>7.7766999999999999</v>
      </c>
      <c r="BU7" s="17">
        <v>7.7877000000000001</v>
      </c>
      <c r="BV7" s="17">
        <v>7.7835000000000001</v>
      </c>
      <c r="BW7" s="17">
        <v>7.7755000000000001</v>
      </c>
      <c r="BX7" s="17">
        <v>7.7728999999999999</v>
      </c>
      <c r="BY7" s="17">
        <v>7.8082000000000003</v>
      </c>
      <c r="BZ7" s="17">
        <v>7.8132999999999999</v>
      </c>
      <c r="CA7" s="17">
        <v>7.8128000000000002</v>
      </c>
      <c r="CB7" s="17">
        <v>7.8208000000000002</v>
      </c>
      <c r="CC7" s="17">
        <v>7.8076999999999996</v>
      </c>
      <c r="CD7" s="17">
        <v>7.8158000000000003</v>
      </c>
      <c r="CE7" s="17">
        <v>7.8239999999999998</v>
      </c>
      <c r="CF7" s="17">
        <v>7.7958999999999996</v>
      </c>
      <c r="CG7" s="17">
        <v>7.7584</v>
      </c>
      <c r="CH7" s="17">
        <v>7.7506000000000004</v>
      </c>
      <c r="CI7" s="17">
        <v>7.7884000000000002</v>
      </c>
      <c r="CJ7" s="17">
        <v>7.8009000000000004</v>
      </c>
      <c r="CK7" s="17">
        <v>7.8021000000000003</v>
      </c>
      <c r="CL7" s="17">
        <v>7.7792000000000003</v>
      </c>
      <c r="CM7" s="17">
        <v>7.7830000000000004</v>
      </c>
      <c r="CN7" s="17">
        <v>7.7919</v>
      </c>
      <c r="CO7" s="17">
        <v>7.8036000000000003</v>
      </c>
      <c r="CP7" s="17">
        <v>7.8021000000000003</v>
      </c>
      <c r="CQ7" s="33">
        <v>7.8026</v>
      </c>
      <c r="CR7" s="33">
        <v>7.8075000000000001</v>
      </c>
      <c r="CS7" s="33">
        <v>7.7770999999999999</v>
      </c>
      <c r="CT7" s="33">
        <v>7.7518000000000002</v>
      </c>
      <c r="CU7" s="33">
        <v>7.7526000000000002</v>
      </c>
      <c r="CV7" s="33">
        <v>7.7497999999999996</v>
      </c>
      <c r="CW7" s="33">
        <v>7.7565</v>
      </c>
      <c r="CX7" s="33">
        <v>7.7539999999999996</v>
      </c>
      <c r="CY7" s="33">
        <v>7.7499000000000002</v>
      </c>
      <c r="CZ7" s="33">
        <v>7.7500999999999998</v>
      </c>
      <c r="DA7" s="33">
        <v>7.7525000000000004</v>
      </c>
      <c r="DB7" s="33">
        <v>7.7499000000000002</v>
      </c>
      <c r="DC7" s="33">
        <v>7.7497999999999996</v>
      </c>
      <c r="DD7" s="33">
        <v>7.7508999999999997</v>
      </c>
      <c r="DE7" s="33">
        <v>7.7500999999999998</v>
      </c>
      <c r="DF7" s="33">
        <v>7.75</v>
      </c>
      <c r="DG7" s="33">
        <v>7.7500999999999998</v>
      </c>
      <c r="DH7" s="33">
        <v>7.7549999999999999</v>
      </c>
      <c r="DI7" s="33">
        <v>7.7689000000000004</v>
      </c>
      <c r="DJ7" s="33">
        <v>7.7637999999999998</v>
      </c>
      <c r="DK7" s="33">
        <v>7.7634999999999996</v>
      </c>
      <c r="DL7" s="33">
        <v>7.7629999999999999</v>
      </c>
      <c r="DM7" s="33">
        <v>7.79</v>
      </c>
      <c r="DN7" s="33">
        <v>7.7849000000000004</v>
      </c>
      <c r="DO7" s="33">
        <v>7.7662000000000004</v>
      </c>
      <c r="DP7" s="33">
        <v>7.7803000000000004</v>
      </c>
      <c r="DQ7" s="33">
        <v>7.7596999999999996</v>
      </c>
      <c r="DR7" s="33">
        <v>7.7584</v>
      </c>
      <c r="DS7" s="33">
        <v>7.7644000000000002</v>
      </c>
      <c r="DT7" s="33">
        <v>7.7824999999999998</v>
      </c>
      <c r="DU7" s="33">
        <v>7.7910000000000004</v>
      </c>
      <c r="DV7" s="33">
        <v>7.7937000000000003</v>
      </c>
      <c r="DW7" s="33">
        <v>7.7838000000000003</v>
      </c>
      <c r="DX7" s="33">
        <v>7.7701000000000002</v>
      </c>
      <c r="DY7" s="33">
        <v>7.7793000000000001</v>
      </c>
      <c r="DZ7" s="33">
        <v>7.7816999999999998</v>
      </c>
      <c r="EA7" s="33">
        <v>7.7923</v>
      </c>
      <c r="EB7" s="33">
        <v>7.7938999999999998</v>
      </c>
      <c r="EC7" s="33">
        <v>7.7930000000000001</v>
      </c>
      <c r="ED7" s="33">
        <v>7.7664999999999997</v>
      </c>
      <c r="EE7" s="33">
        <v>7.7896999999999998</v>
      </c>
      <c r="EF7" s="33">
        <v>7.7721999999999998</v>
      </c>
      <c r="EG7" s="33">
        <v>7.7563000000000004</v>
      </c>
      <c r="EH7" s="33">
        <v>7.7550999999999997</v>
      </c>
      <c r="EI7" s="33">
        <v>7.7647000000000004</v>
      </c>
      <c r="EJ7" s="33">
        <v>7.7588999999999997</v>
      </c>
      <c r="EK7" s="33">
        <v>7.7660999999999998</v>
      </c>
      <c r="EL7" s="33">
        <v>7.7587999999999999</v>
      </c>
      <c r="EM7" s="33">
        <v>7.7550999999999997</v>
      </c>
      <c r="EN7" s="33">
        <v>7.7561</v>
      </c>
      <c r="EO7" s="33">
        <v>7.7538999999999998</v>
      </c>
      <c r="EP7" s="33">
        <v>7.7500999999999998</v>
      </c>
      <c r="EQ7" s="33">
        <v>7.7499000000000002</v>
      </c>
      <c r="ER7" s="33">
        <v>7.7512999999999996</v>
      </c>
      <c r="ES7" s="33">
        <v>7.758</v>
      </c>
      <c r="ET7" s="33">
        <v>7.7568999999999999</v>
      </c>
      <c r="EU7" s="33">
        <v>7.7629000000000001</v>
      </c>
      <c r="EV7" s="33">
        <v>7.7610999999999999</v>
      </c>
      <c r="EW7" s="33">
        <v>7.7636000000000003</v>
      </c>
      <c r="EX7" s="33">
        <v>7.7569999999999997</v>
      </c>
      <c r="EY7" s="33">
        <v>7.7552000000000003</v>
      </c>
      <c r="EZ7" s="33">
        <v>7.7552000000000003</v>
      </c>
      <c r="FA7" s="33">
        <v>7.7542</v>
      </c>
      <c r="FB7" s="33">
        <v>7.7531999999999996</v>
      </c>
      <c r="FC7" s="33">
        <v>7.7526000000000002</v>
      </c>
      <c r="FD7" s="58">
        <v>7.7546999999999997</v>
      </c>
      <c r="FE7" s="58">
        <v>7.7666000000000004</v>
      </c>
      <c r="FF7" s="58">
        <v>7.7603999999999997</v>
      </c>
      <c r="FG7" s="58">
        <v>7.7575000000000003</v>
      </c>
      <c r="FH7" s="58">
        <v>7.7531999999999996</v>
      </c>
      <c r="FI7" s="58">
        <v>7.7526999999999999</v>
      </c>
      <c r="FJ7" s="58">
        <v>7.7510000000000003</v>
      </c>
      <c r="FK7" s="58">
        <v>7.75</v>
      </c>
      <c r="FL7" s="58">
        <v>7.7500999999999998</v>
      </c>
      <c r="FM7" s="58">
        <v>7.7655000000000003</v>
      </c>
      <c r="FN7" s="58">
        <v>7.7552000000000003</v>
      </c>
      <c r="FO7" s="58">
        <v>7.7526000000000002</v>
      </c>
      <c r="FP7" s="58">
        <v>7.7568999999999999</v>
      </c>
      <c r="FQ7" s="58">
        <v>7.7519999999999998</v>
      </c>
      <c r="FR7" s="58">
        <v>7.7553999999999998</v>
      </c>
      <c r="FS7" s="58">
        <v>7.7544000000000004</v>
      </c>
      <c r="FT7" s="58">
        <v>7.7504999999999997</v>
      </c>
      <c r="FU7" s="58">
        <v>7.7530999999999999</v>
      </c>
      <c r="FV7" s="58">
        <v>7.7522000000000002</v>
      </c>
      <c r="FW7" s="58">
        <v>7.7522000000000002</v>
      </c>
      <c r="FX7" s="58">
        <v>7.75</v>
      </c>
      <c r="FY7" s="58">
        <v>7.7500999999999998</v>
      </c>
      <c r="FZ7" s="58">
        <v>7.75</v>
      </c>
      <c r="GA7" s="58">
        <v>7.7503000000000002</v>
      </c>
      <c r="GB7" s="58">
        <v>7.7507999999999999</v>
      </c>
      <c r="GC7" s="58">
        <v>7.7930999999999999</v>
      </c>
      <c r="GD7" s="58">
        <v>7.7735000000000003</v>
      </c>
      <c r="GE7" s="58">
        <v>7.7534000000000001</v>
      </c>
      <c r="GF7" s="58">
        <v>7.7575000000000003</v>
      </c>
      <c r="GG7" s="58">
        <v>7.7683</v>
      </c>
      <c r="GH7" s="58">
        <v>7.7584</v>
      </c>
      <c r="GI7" s="58">
        <v>7.7560000000000002</v>
      </c>
      <c r="GJ7" s="58">
        <v>7.7572000000000001</v>
      </c>
      <c r="GK7" s="58">
        <v>7.7539999999999996</v>
      </c>
      <c r="GL7" s="58">
        <v>7.7544000000000004</v>
      </c>
      <c r="GM7" s="58">
        <v>7.7563000000000004</v>
      </c>
      <c r="GN7" s="58">
        <v>7.7549999999999999</v>
      </c>
      <c r="GO7" s="58">
        <v>7.7576000000000001</v>
      </c>
      <c r="GP7" s="58">
        <v>7.7610999999999999</v>
      </c>
      <c r="GQ7" s="58">
        <v>7.7708000000000004</v>
      </c>
      <c r="GR7" s="58">
        <v>7.7807000000000004</v>
      </c>
      <c r="GS7" s="58">
        <v>7.7931999999999997</v>
      </c>
      <c r="GT7" s="58">
        <v>7.8048999999999999</v>
      </c>
      <c r="GU7" s="58">
        <v>7.8093000000000004</v>
      </c>
      <c r="GV7" s="58">
        <v>7.8247</v>
      </c>
      <c r="GW7" s="58">
        <v>7.8106</v>
      </c>
      <c r="GX7" s="58">
        <v>7.7994000000000003</v>
      </c>
      <c r="GY7" s="58">
        <v>7.8083</v>
      </c>
      <c r="GZ7" s="58">
        <v>7.8164999999999996</v>
      </c>
      <c r="HA7" s="58">
        <v>7.8174999999999999</v>
      </c>
      <c r="HB7" s="58">
        <v>7.8273999999999999</v>
      </c>
      <c r="HC7" s="58">
        <v>7.8475999999999999</v>
      </c>
      <c r="HD7" s="58">
        <v>7.8478000000000003</v>
      </c>
      <c r="HE7" s="58">
        <v>7.8460999999999999</v>
      </c>
      <c r="HF7" s="58">
        <v>7.8479999999999999</v>
      </c>
      <c r="HG7" s="58">
        <v>7.8480999999999996</v>
      </c>
      <c r="HH7" s="58">
        <v>7.8491999999999997</v>
      </c>
      <c r="HI7" s="58">
        <v>7.8162000000000003</v>
      </c>
      <c r="HJ7" s="58">
        <v>7.8449</v>
      </c>
      <c r="HK7" s="94">
        <v>7.8217999999999996</v>
      </c>
      <c r="HL7" s="94">
        <v>7.8310000000000004</v>
      </c>
      <c r="HM7" s="94">
        <v>7.8410000000000002</v>
      </c>
      <c r="HN7" s="94">
        <v>7.8493000000000004</v>
      </c>
      <c r="HO7" s="94">
        <v>7.8498000000000001</v>
      </c>
      <c r="HP7" s="94">
        <v>7.8433999999999999</v>
      </c>
      <c r="HQ7" s="94">
        <v>7.8478000000000003</v>
      </c>
      <c r="HR7" s="94">
        <v>7.8151000000000002</v>
      </c>
      <c r="HS7" s="94">
        <v>7.8235000000000001</v>
      </c>
      <c r="HT7" s="94">
        <v>7.8452000000000002</v>
      </c>
      <c r="HU7" s="94">
        <v>7.8409000000000004</v>
      </c>
      <c r="HV7" s="94">
        <v>7.8384</v>
      </c>
      <c r="HW7" s="94">
        <v>7.8273000000000001</v>
      </c>
      <c r="HX7" s="94">
        <v>7.7885</v>
      </c>
      <c r="HY7" s="94">
        <v>7.7674000000000003</v>
      </c>
      <c r="HZ7" s="94">
        <v>7.7946</v>
      </c>
      <c r="IA7" s="94">
        <v>7.7541000000000002</v>
      </c>
      <c r="IB7" s="94">
        <v>7.7503000000000002</v>
      </c>
      <c r="IC7" s="94">
        <v>7.7526999999999999</v>
      </c>
      <c r="ID7" s="94">
        <v>7.7503000000000002</v>
      </c>
      <c r="IE7" s="94">
        <v>7.75</v>
      </c>
      <c r="IF7" s="94">
        <v>7.7500999999999998</v>
      </c>
      <c r="IG7" s="94">
        <v>7.7497999999999996</v>
      </c>
      <c r="IH7" s="94">
        <v>7.75</v>
      </c>
      <c r="II7" s="94">
        <v>7.7507999999999999</v>
      </c>
      <c r="IJ7" s="94">
        <v>7.7523999999999997</v>
      </c>
      <c r="IK7" s="94">
        <v>7.7525000000000004</v>
      </c>
      <c r="IL7" s="94">
        <v>7.7546999999999997</v>
      </c>
      <c r="IM7" s="94">
        <v>7.7756999999999996</v>
      </c>
      <c r="IN7" s="94">
        <v>7.7624000000000004</v>
      </c>
      <c r="IO7" s="94">
        <v>7.7618999999999998</v>
      </c>
      <c r="IP7" s="94">
        <v>7.7637999999999998</v>
      </c>
      <c r="IQ7" s="94">
        <v>7.77</v>
      </c>
      <c r="IR7" s="94">
        <v>7.7870999999999997</v>
      </c>
      <c r="IS7" s="94">
        <v>7.7854999999999999</v>
      </c>
      <c r="IT7" s="94">
        <v>7.7782</v>
      </c>
      <c r="IU7" s="94">
        <v>7.7995000000000001</v>
      </c>
      <c r="IV7" s="94">
        <v>7.7979000000000003</v>
      </c>
      <c r="IW7" s="94">
        <v>7.7938999999999998</v>
      </c>
      <c r="IX7" s="94">
        <v>7.8075999999999999</v>
      </c>
      <c r="IY7" s="94">
        <v>7.8272000000000004</v>
      </c>
      <c r="IZ7" s="94">
        <v>7.8464999999999998</v>
      </c>
      <c r="JA7" s="94">
        <v>7.8483000000000001</v>
      </c>
      <c r="JB7" s="94">
        <v>7.8460999999999999</v>
      </c>
      <c r="JC7" s="94">
        <v>7.8494999999999999</v>
      </c>
      <c r="JD7" s="94">
        <v>7.8490000000000002</v>
      </c>
      <c r="JE7" s="94">
        <v>7.8497000000000003</v>
      </c>
      <c r="JF7" s="94">
        <v>7.8486000000000002</v>
      </c>
      <c r="JG7" s="94">
        <v>7.8102</v>
      </c>
      <c r="JH7" s="94">
        <v>7.7969999999999997</v>
      </c>
    </row>
    <row r="8" spans="1:268" ht="23.25" customHeight="1" x14ac:dyDescent="0.2">
      <c r="A8" s="29" t="s">
        <v>12</v>
      </c>
      <c r="B8" s="16" t="s">
        <v>17</v>
      </c>
      <c r="C8" s="73">
        <v>102.15</v>
      </c>
      <c r="D8" s="9">
        <v>114.25</v>
      </c>
      <c r="E8" s="9">
        <v>115.9</v>
      </c>
      <c r="F8" s="9">
        <v>116.23</v>
      </c>
      <c r="G8" s="9">
        <v>123.71</v>
      </c>
      <c r="H8" s="9">
        <v>123.89</v>
      </c>
      <c r="I8" s="11">
        <v>120.25</v>
      </c>
      <c r="J8" s="11">
        <v>123.7</v>
      </c>
      <c r="K8" s="11">
        <v>124.98</v>
      </c>
      <c r="L8" s="11">
        <v>119.2</v>
      </c>
      <c r="M8" s="11">
        <v>118.03</v>
      </c>
      <c r="N8" s="11">
        <v>122.48</v>
      </c>
      <c r="O8" s="11">
        <v>123.81</v>
      </c>
      <c r="P8" s="11">
        <v>131.38</v>
      </c>
      <c r="Q8" s="11">
        <v>132.87</v>
      </c>
      <c r="R8" s="11">
        <v>134.19</v>
      </c>
      <c r="S8" s="11">
        <v>133</v>
      </c>
      <c r="T8" s="11">
        <v>127.95</v>
      </c>
      <c r="U8" s="11">
        <v>123.39</v>
      </c>
      <c r="V8" s="11">
        <v>119.62</v>
      </c>
      <c r="W8" s="11">
        <v>120.12</v>
      </c>
      <c r="X8" s="11">
        <v>118.11</v>
      </c>
      <c r="Y8" s="11">
        <v>122.66</v>
      </c>
      <c r="Z8" s="11">
        <v>123.53</v>
      </c>
      <c r="AA8" s="11">
        <v>122.35</v>
      </c>
      <c r="AB8" s="11">
        <v>119.94</v>
      </c>
      <c r="AC8" s="11">
        <v>119.02</v>
      </c>
      <c r="AD8" s="11">
        <v>117.71</v>
      </c>
      <c r="AE8" s="11">
        <v>119.94</v>
      </c>
      <c r="AF8" s="11">
        <v>119.67</v>
      </c>
      <c r="AG8" s="11">
        <v>118.27</v>
      </c>
      <c r="AH8" s="11">
        <v>119.73</v>
      </c>
      <c r="AI8" s="11">
        <v>120.24</v>
      </c>
      <c r="AJ8" s="11">
        <v>117.13</v>
      </c>
      <c r="AK8" s="11">
        <v>111.1</v>
      </c>
      <c r="AL8" s="11">
        <v>108.16</v>
      </c>
      <c r="AM8" s="11">
        <v>109.43</v>
      </c>
      <c r="AN8" s="11">
        <v>106.95</v>
      </c>
      <c r="AO8" s="11">
        <v>106.06</v>
      </c>
      <c r="AP8" s="11">
        <v>109.6</v>
      </c>
      <c r="AQ8" s="11">
        <v>105.51</v>
      </c>
      <c r="AR8" s="11">
        <v>110.25</v>
      </c>
      <c r="AS8" s="11">
        <v>110.03</v>
      </c>
      <c r="AT8" s="11">
        <v>108.23</v>
      </c>
      <c r="AU8" s="11">
        <v>111.55</v>
      </c>
      <c r="AV8" s="11">
        <v>109.94</v>
      </c>
      <c r="AW8" s="11">
        <v>111.21</v>
      </c>
      <c r="AX8" s="11">
        <v>106.64</v>
      </c>
      <c r="AY8" s="11">
        <v>103.01</v>
      </c>
      <c r="AZ8" s="11">
        <v>104.34</v>
      </c>
      <c r="BA8" s="11">
        <v>103.65</v>
      </c>
      <c r="BB8" s="11">
        <v>108.61</v>
      </c>
      <c r="BC8" s="11">
        <v>107.26</v>
      </c>
      <c r="BD8" s="11">
        <v>104.6</v>
      </c>
      <c r="BE8" s="11">
        <v>107.99</v>
      </c>
      <c r="BF8" s="11">
        <v>110.44</v>
      </c>
      <c r="BG8" s="11">
        <v>112.55</v>
      </c>
      <c r="BH8" s="11">
        <v>111.42</v>
      </c>
      <c r="BI8" s="11">
        <v>113.14</v>
      </c>
      <c r="BJ8" s="11">
        <v>115.34</v>
      </c>
      <c r="BK8" s="11">
        <v>119.73</v>
      </c>
      <c r="BL8" s="11">
        <v>117.89</v>
      </c>
      <c r="BM8" s="11">
        <v>117.67</v>
      </c>
      <c r="BN8" s="11">
        <v>116.17</v>
      </c>
      <c r="BO8" s="11">
        <v>117.36</v>
      </c>
      <c r="BP8" s="11">
        <v>114.27</v>
      </c>
      <c r="BQ8" s="11">
        <v>112.31</v>
      </c>
      <c r="BR8" s="11">
        <v>115.17</v>
      </c>
      <c r="BS8" s="11">
        <v>114.83</v>
      </c>
      <c r="BT8" s="11">
        <v>117.15</v>
      </c>
      <c r="BU8" s="11">
        <v>117.45</v>
      </c>
      <c r="BV8" s="11">
        <v>118.57</v>
      </c>
      <c r="BW8" s="11">
        <v>116.44</v>
      </c>
      <c r="BX8" s="11">
        <v>118.99</v>
      </c>
      <c r="BY8" s="11">
        <v>121.66</v>
      </c>
      <c r="BZ8" s="11">
        <v>118.68</v>
      </c>
      <c r="CA8" s="11">
        <v>117.87</v>
      </c>
      <c r="CB8" s="11">
        <v>119.57</v>
      </c>
      <c r="CC8" s="11">
        <v>121.58</v>
      </c>
      <c r="CD8" s="11">
        <v>123.19</v>
      </c>
      <c r="CE8" s="11">
        <v>119.04</v>
      </c>
      <c r="CF8" s="11">
        <v>115.83</v>
      </c>
      <c r="CG8" s="11">
        <v>115.56</v>
      </c>
      <c r="CH8" s="11">
        <v>114.64</v>
      </c>
      <c r="CI8" s="11">
        <v>110.07</v>
      </c>
      <c r="CJ8" s="11">
        <v>112.23</v>
      </c>
      <c r="CK8" s="11">
        <v>106.58</v>
      </c>
      <c r="CL8" s="11">
        <v>104.86</v>
      </c>
      <c r="CM8" s="11">
        <v>100.02</v>
      </c>
      <c r="CN8" s="11">
        <v>104.04</v>
      </c>
      <c r="CO8" s="11">
        <v>105.68</v>
      </c>
      <c r="CP8" s="11">
        <v>106.37</v>
      </c>
      <c r="CQ8" s="34">
        <v>108.12</v>
      </c>
      <c r="CR8" s="34">
        <v>109.33</v>
      </c>
      <c r="CS8" s="34">
        <v>105.88</v>
      </c>
      <c r="CT8" s="34">
        <v>98.02</v>
      </c>
      <c r="CU8" s="34">
        <v>95.44</v>
      </c>
      <c r="CV8" s="34">
        <v>90.33</v>
      </c>
      <c r="CW8" s="34">
        <v>89.75</v>
      </c>
      <c r="CX8" s="34">
        <v>97.84</v>
      </c>
      <c r="CY8" s="34">
        <v>97.66</v>
      </c>
      <c r="CZ8" s="34">
        <v>97.56</v>
      </c>
      <c r="DA8" s="34">
        <v>96.45</v>
      </c>
      <c r="DB8" s="34">
        <v>96.08</v>
      </c>
      <c r="DC8" s="34">
        <v>95.52</v>
      </c>
      <c r="DD8" s="34">
        <v>93</v>
      </c>
      <c r="DE8" s="34">
        <v>90.35</v>
      </c>
      <c r="DF8" s="34">
        <v>91.38</v>
      </c>
      <c r="DG8" s="34">
        <v>86.53</v>
      </c>
      <c r="DH8" s="34">
        <v>92.46</v>
      </c>
      <c r="DI8" s="34">
        <v>89.76</v>
      </c>
      <c r="DJ8" s="34">
        <v>89.26</v>
      </c>
      <c r="DK8" s="34">
        <v>92.89</v>
      </c>
      <c r="DL8" s="34">
        <v>94.6</v>
      </c>
      <c r="DM8" s="34">
        <v>91.18</v>
      </c>
      <c r="DN8" s="34">
        <v>88.65</v>
      </c>
      <c r="DO8" s="34">
        <v>86.79</v>
      </c>
      <c r="DP8" s="34">
        <v>84.57</v>
      </c>
      <c r="DQ8" s="34">
        <v>83.75</v>
      </c>
      <c r="DR8" s="34">
        <v>81.63</v>
      </c>
      <c r="DS8" s="34">
        <v>84.21</v>
      </c>
      <c r="DT8" s="34">
        <v>81.489999999999995</v>
      </c>
      <c r="DU8" s="34">
        <v>82.11</v>
      </c>
      <c r="DV8" s="34">
        <v>81.650000000000006</v>
      </c>
      <c r="DW8" s="34">
        <v>83.16</v>
      </c>
      <c r="DX8" s="34">
        <v>81.59</v>
      </c>
      <c r="DY8" s="34">
        <v>80.88</v>
      </c>
      <c r="DZ8" s="34">
        <v>80.67</v>
      </c>
      <c r="EA8" s="34">
        <v>77.819999999999993</v>
      </c>
      <c r="EB8" s="34">
        <v>76.67</v>
      </c>
      <c r="EC8" s="34">
        <v>76.66</v>
      </c>
      <c r="ED8" s="34">
        <v>75.900000000000006</v>
      </c>
      <c r="EE8" s="34">
        <v>78.05</v>
      </c>
      <c r="EF8" s="34">
        <v>77.650000000000006</v>
      </c>
      <c r="EG8" s="34">
        <v>76.3</v>
      </c>
      <c r="EH8" s="34">
        <v>80.540000000000006</v>
      </c>
      <c r="EI8" s="34">
        <v>82.16</v>
      </c>
      <c r="EJ8" s="34">
        <v>80.349999999999994</v>
      </c>
      <c r="EK8" s="34">
        <v>78.94</v>
      </c>
      <c r="EL8" s="34">
        <v>79.290000000000006</v>
      </c>
      <c r="EM8" s="34">
        <v>78.13</v>
      </c>
      <c r="EN8" s="34">
        <v>78.56</v>
      </c>
      <c r="EO8" s="34">
        <v>77.62</v>
      </c>
      <c r="EP8" s="34">
        <v>79.77</v>
      </c>
      <c r="EQ8" s="34">
        <v>82.11</v>
      </c>
      <c r="ER8" s="34">
        <v>85.99</v>
      </c>
      <c r="ES8" s="34">
        <v>90.97</v>
      </c>
      <c r="ET8" s="34">
        <v>92.33</v>
      </c>
      <c r="EU8" s="34">
        <v>94.23</v>
      </c>
      <c r="EV8" s="34">
        <v>97.91</v>
      </c>
      <c r="EW8" s="34">
        <v>101.09</v>
      </c>
      <c r="EX8" s="34">
        <v>98.47</v>
      </c>
      <c r="EY8" s="34">
        <v>98</v>
      </c>
      <c r="EZ8" s="34">
        <v>98.41</v>
      </c>
      <c r="FA8" s="34">
        <v>97.81</v>
      </c>
      <c r="FB8" s="34">
        <v>98.49</v>
      </c>
      <c r="FC8" s="34">
        <v>102.29</v>
      </c>
      <c r="FD8" s="59">
        <v>104.93</v>
      </c>
      <c r="FE8" s="59">
        <v>102.7</v>
      </c>
      <c r="FF8" s="59">
        <v>102.07</v>
      </c>
      <c r="FG8" s="59">
        <v>102.85</v>
      </c>
      <c r="FH8" s="59">
        <v>102.55</v>
      </c>
      <c r="FI8" s="59">
        <v>101.68</v>
      </c>
      <c r="FJ8" s="59">
        <v>101.43</v>
      </c>
      <c r="FK8" s="59">
        <v>102.81</v>
      </c>
      <c r="FL8" s="59">
        <v>103.73</v>
      </c>
      <c r="FM8" s="59">
        <v>109.4</v>
      </c>
      <c r="FN8" s="59">
        <v>109.25</v>
      </c>
      <c r="FO8" s="59">
        <v>117.99</v>
      </c>
      <c r="FP8" s="59">
        <v>119.45</v>
      </c>
      <c r="FQ8" s="59">
        <v>118.24</v>
      </c>
      <c r="FR8" s="59">
        <v>119.25</v>
      </c>
      <c r="FS8" s="59">
        <v>120.05</v>
      </c>
      <c r="FT8" s="59">
        <v>118.93</v>
      </c>
      <c r="FU8" s="59">
        <v>123.79</v>
      </c>
      <c r="FV8" s="59">
        <v>122.59</v>
      </c>
      <c r="FW8" s="59">
        <v>123.97</v>
      </c>
      <c r="FX8" s="59">
        <v>121.33</v>
      </c>
      <c r="FY8" s="59">
        <v>119.9</v>
      </c>
      <c r="FZ8" s="59">
        <v>121</v>
      </c>
      <c r="GA8" s="59">
        <v>122.83</v>
      </c>
      <c r="GB8" s="59">
        <v>120.47</v>
      </c>
      <c r="GC8" s="59">
        <v>118.89</v>
      </c>
      <c r="GD8" s="59">
        <v>113.69</v>
      </c>
      <c r="GE8" s="59">
        <v>112.36</v>
      </c>
      <c r="GF8" s="59">
        <v>108.08</v>
      </c>
      <c r="GG8" s="59">
        <v>110.84</v>
      </c>
      <c r="GH8" s="59">
        <v>102.73</v>
      </c>
      <c r="GI8" s="59">
        <v>104.78</v>
      </c>
      <c r="GJ8" s="59">
        <v>102.92</v>
      </c>
      <c r="GK8" s="59">
        <v>100.99</v>
      </c>
      <c r="GL8" s="59">
        <v>104.82</v>
      </c>
      <c r="GM8" s="59">
        <v>112.34</v>
      </c>
      <c r="GN8" s="59">
        <v>116.43</v>
      </c>
      <c r="GO8" s="59">
        <v>113.62</v>
      </c>
      <c r="GP8" s="59">
        <v>112.79</v>
      </c>
      <c r="GQ8" s="59">
        <v>111.81</v>
      </c>
      <c r="GR8" s="59">
        <v>111.33</v>
      </c>
      <c r="GS8" s="59">
        <v>110.85</v>
      </c>
      <c r="GT8" s="59">
        <v>112.11</v>
      </c>
      <c r="GU8" s="59">
        <v>110.52</v>
      </c>
      <c r="GV8" s="59">
        <v>110.52</v>
      </c>
      <c r="GW8" s="59">
        <v>112.46</v>
      </c>
      <c r="GX8" s="59">
        <v>113.03</v>
      </c>
      <c r="GY8" s="59">
        <v>112</v>
      </c>
      <c r="GZ8" s="59">
        <v>112.96</v>
      </c>
      <c r="HA8" s="59">
        <v>108.93</v>
      </c>
      <c r="HB8" s="59">
        <v>107.51</v>
      </c>
      <c r="HC8" s="59">
        <v>106.47</v>
      </c>
      <c r="HD8" s="59">
        <v>109.14</v>
      </c>
      <c r="HE8" s="59">
        <v>108.59</v>
      </c>
      <c r="HF8" s="59">
        <v>110.45</v>
      </c>
      <c r="HG8" s="59">
        <v>110.9</v>
      </c>
      <c r="HH8" s="59">
        <v>110.96</v>
      </c>
      <c r="HI8" s="59">
        <v>113.4</v>
      </c>
      <c r="HJ8" s="59">
        <v>113.11</v>
      </c>
      <c r="HK8" s="95">
        <v>113.4</v>
      </c>
      <c r="HL8" s="95">
        <v>110.36</v>
      </c>
      <c r="HM8" s="95">
        <v>108.9</v>
      </c>
      <c r="HN8" s="95">
        <v>110.9</v>
      </c>
      <c r="HO8" s="95">
        <v>110.58</v>
      </c>
      <c r="HP8" s="95">
        <v>111.67</v>
      </c>
      <c r="HQ8" s="95">
        <v>109.28</v>
      </c>
      <c r="HR8" s="95">
        <v>107.69</v>
      </c>
      <c r="HS8" s="95">
        <v>108.55</v>
      </c>
      <c r="HT8" s="95">
        <v>106.47</v>
      </c>
      <c r="HU8" s="95">
        <v>107.95</v>
      </c>
      <c r="HV8" s="95">
        <v>108.81</v>
      </c>
      <c r="HW8" s="95">
        <v>109.56</v>
      </c>
      <c r="HX8" s="95">
        <v>108.86</v>
      </c>
      <c r="HY8" s="95">
        <v>108.93</v>
      </c>
      <c r="HZ8" s="95">
        <v>109.67</v>
      </c>
      <c r="IA8" s="95">
        <v>108.01</v>
      </c>
      <c r="IB8" s="95">
        <v>106.65</v>
      </c>
      <c r="IC8" s="95">
        <v>107.63</v>
      </c>
      <c r="ID8" s="95">
        <v>107.64</v>
      </c>
      <c r="IE8" s="95">
        <v>104.58</v>
      </c>
      <c r="IF8" s="95">
        <v>105.36</v>
      </c>
      <c r="IG8" s="95">
        <v>105.73</v>
      </c>
      <c r="IH8" s="95">
        <v>104.54</v>
      </c>
      <c r="II8" s="95">
        <v>103.91</v>
      </c>
      <c r="IJ8" s="95">
        <v>103.14</v>
      </c>
      <c r="IK8" s="95">
        <v>104.33</v>
      </c>
      <c r="IL8" s="95">
        <v>106.21</v>
      </c>
      <c r="IM8" s="95">
        <v>110.41</v>
      </c>
      <c r="IN8" s="95">
        <v>108.5</v>
      </c>
      <c r="IO8" s="95">
        <v>109.91</v>
      </c>
      <c r="IP8" s="95">
        <v>110.56</v>
      </c>
      <c r="IQ8" s="95">
        <v>109.41</v>
      </c>
      <c r="IR8" s="95">
        <v>109.95</v>
      </c>
      <c r="IS8" s="95">
        <v>111.88</v>
      </c>
      <c r="IT8" s="95">
        <v>113.81</v>
      </c>
      <c r="IU8" s="95">
        <v>113.85</v>
      </c>
      <c r="IV8" s="95">
        <v>115.04</v>
      </c>
      <c r="IW8" s="95">
        <v>115.38</v>
      </c>
      <c r="IX8" s="95">
        <v>115.58</v>
      </c>
      <c r="IY8" s="95">
        <v>122.2</v>
      </c>
      <c r="IZ8" s="95">
        <v>130.63</v>
      </c>
      <c r="JA8" s="95">
        <v>127.78</v>
      </c>
      <c r="JB8" s="95">
        <v>136.65</v>
      </c>
      <c r="JC8" s="95">
        <v>134.41</v>
      </c>
      <c r="JD8" s="95">
        <v>138.68</v>
      </c>
      <c r="JE8" s="95">
        <v>144.38</v>
      </c>
      <c r="JF8" s="95">
        <v>147.65</v>
      </c>
      <c r="JG8" s="95">
        <v>138.74</v>
      </c>
      <c r="JH8" s="95">
        <v>131.88</v>
      </c>
    </row>
    <row r="9" spans="1:268" ht="23.25" customHeight="1" x14ac:dyDescent="0.2">
      <c r="A9" s="22" t="s">
        <v>4</v>
      </c>
      <c r="B9" s="16" t="s">
        <v>18</v>
      </c>
      <c r="C9" s="75">
        <v>1137</v>
      </c>
      <c r="D9" s="21">
        <v>1257.2</v>
      </c>
      <c r="E9" s="21">
        <v>1259.5</v>
      </c>
      <c r="F9" s="21">
        <v>1249.8</v>
      </c>
      <c r="G9" s="21">
        <v>1323.5</v>
      </c>
      <c r="H9" s="21">
        <v>1327.5</v>
      </c>
      <c r="I9" s="21">
        <v>1280</v>
      </c>
      <c r="J9" s="21">
        <v>1301</v>
      </c>
      <c r="K9" s="21">
        <v>1295</v>
      </c>
      <c r="L9" s="21">
        <v>1274</v>
      </c>
      <c r="M9" s="21">
        <v>1295</v>
      </c>
      <c r="N9" s="21">
        <v>1292</v>
      </c>
      <c r="O9" s="21">
        <v>1259</v>
      </c>
      <c r="P9" s="21">
        <v>1313</v>
      </c>
      <c r="Q9" s="21">
        <v>1301</v>
      </c>
      <c r="R9" s="21">
        <v>1323.7</v>
      </c>
      <c r="S9" s="21">
        <v>1317</v>
      </c>
      <c r="T9" s="21">
        <v>1287.5999999999999</v>
      </c>
      <c r="U9" s="21">
        <v>1212.5</v>
      </c>
      <c r="V9" s="21">
        <v>1187.9000000000001</v>
      </c>
      <c r="W9" s="21">
        <v>1193.4000000000001</v>
      </c>
      <c r="X9" s="21">
        <v>1200.3</v>
      </c>
      <c r="Y9" s="21">
        <v>1227.4000000000001</v>
      </c>
      <c r="Z9" s="21">
        <v>1223.5</v>
      </c>
      <c r="AA9" s="21">
        <v>1207.0999999999999</v>
      </c>
      <c r="AB9" s="21">
        <v>1202.4000000000001</v>
      </c>
      <c r="AC9" s="21">
        <v>1163</v>
      </c>
      <c r="AD9" s="21">
        <v>1163</v>
      </c>
      <c r="AE9" s="21">
        <v>1259.8</v>
      </c>
      <c r="AF9" s="21">
        <v>1213.0999999999999</v>
      </c>
      <c r="AG9" s="21">
        <v>1204.4000000000001</v>
      </c>
      <c r="AH9" s="21">
        <v>1195.7</v>
      </c>
      <c r="AI9" s="21">
        <v>1181.3</v>
      </c>
      <c r="AJ9" s="21">
        <v>1179</v>
      </c>
      <c r="AK9" s="21">
        <v>1150.5</v>
      </c>
      <c r="AL9" s="21">
        <v>1183.4000000000001</v>
      </c>
      <c r="AM9" s="21">
        <v>1204.4000000000001</v>
      </c>
      <c r="AN9" s="21">
        <v>1195.3</v>
      </c>
      <c r="AO9" s="21">
        <v>1174.5</v>
      </c>
      <c r="AP9" s="21">
        <v>1177.5</v>
      </c>
      <c r="AQ9" s="21">
        <v>1152.3</v>
      </c>
      <c r="AR9" s="21">
        <v>1175.4000000000001</v>
      </c>
      <c r="AS9" s="21">
        <v>1164.5</v>
      </c>
      <c r="AT9" s="21">
        <v>1151.7</v>
      </c>
      <c r="AU9" s="21">
        <v>1168</v>
      </c>
      <c r="AV9" s="21">
        <v>1154.8</v>
      </c>
      <c r="AW9" s="21">
        <v>1153.7</v>
      </c>
      <c r="AX9" s="21">
        <v>1125.5999999999999</v>
      </c>
      <c r="AY9" s="21">
        <v>1047</v>
      </c>
      <c r="AZ9" s="21">
        <v>1038</v>
      </c>
      <c r="BA9" s="21">
        <v>1024</v>
      </c>
      <c r="BB9" s="21">
        <v>1178</v>
      </c>
      <c r="BC9" s="21">
        <v>1018.8</v>
      </c>
      <c r="BD9" s="21">
        <v>995</v>
      </c>
      <c r="BE9" s="21">
        <v>999.4</v>
      </c>
      <c r="BF9" s="21">
        <v>1031</v>
      </c>
      <c r="BG9" s="21">
        <v>1029</v>
      </c>
      <c r="BH9" s="21">
        <v>1037.7</v>
      </c>
      <c r="BI9" s="21">
        <v>1038.5999999999999</v>
      </c>
      <c r="BJ9" s="21">
        <v>1042.9000000000001</v>
      </c>
      <c r="BK9" s="21">
        <v>1038.9000000000001</v>
      </c>
      <c r="BL9" s="21">
        <v>1011.6</v>
      </c>
      <c r="BM9" s="21">
        <v>971.6</v>
      </c>
      <c r="BN9" s="21">
        <v>968.4</v>
      </c>
      <c r="BO9" s="21">
        <v>975.5</v>
      </c>
      <c r="BP9" s="21">
        <v>943</v>
      </c>
      <c r="BQ9" s="21">
        <v>945.3</v>
      </c>
      <c r="BR9" s="21">
        <v>954.5</v>
      </c>
      <c r="BS9" s="21">
        <v>953.7</v>
      </c>
      <c r="BT9" s="21">
        <v>960.7</v>
      </c>
      <c r="BU9" s="21">
        <v>944.8</v>
      </c>
      <c r="BV9" s="21">
        <v>947.7</v>
      </c>
      <c r="BW9" s="21">
        <v>931.5</v>
      </c>
      <c r="BX9" s="21">
        <v>929.3</v>
      </c>
      <c r="BY9" s="21">
        <v>941.8</v>
      </c>
      <c r="BZ9" s="21">
        <v>941.3</v>
      </c>
      <c r="CA9" s="21">
        <v>940.6</v>
      </c>
      <c r="CB9" s="21">
        <v>931.4</v>
      </c>
      <c r="CC9" s="21">
        <v>927.9</v>
      </c>
      <c r="CD9" s="21">
        <v>926.6</v>
      </c>
      <c r="CE9" s="21">
        <v>921.1</v>
      </c>
      <c r="CF9" s="21">
        <v>939.8</v>
      </c>
      <c r="CG9" s="21">
        <v>917.8</v>
      </c>
      <c r="CH9" s="21">
        <v>909.2</v>
      </c>
      <c r="CI9" s="21">
        <v>927.6</v>
      </c>
      <c r="CJ9" s="21">
        <v>935.8</v>
      </c>
      <c r="CK9" s="21">
        <v>944.6</v>
      </c>
      <c r="CL9" s="21">
        <v>936.3</v>
      </c>
      <c r="CM9" s="21">
        <v>992.1</v>
      </c>
      <c r="CN9" s="21">
        <v>1003.6</v>
      </c>
      <c r="CO9" s="21">
        <v>1026</v>
      </c>
      <c r="CP9" s="21">
        <v>1043.9000000000001</v>
      </c>
      <c r="CQ9" s="35">
        <v>1011.5</v>
      </c>
      <c r="CR9" s="35">
        <v>1088</v>
      </c>
      <c r="CS9" s="35">
        <v>1153.5999999999999</v>
      </c>
      <c r="CT9" s="35">
        <v>1349.9</v>
      </c>
      <c r="CU9" s="35">
        <v>1463.1</v>
      </c>
      <c r="CV9" s="35">
        <v>1352</v>
      </c>
      <c r="CW9" s="35">
        <v>1383</v>
      </c>
      <c r="CX9" s="35">
        <v>1522.6</v>
      </c>
      <c r="CY9" s="35">
        <v>1410.9</v>
      </c>
      <c r="CZ9" s="35">
        <v>1322.9</v>
      </c>
      <c r="DA9" s="35">
        <v>1259.0999999999999</v>
      </c>
      <c r="DB9" s="35">
        <v>1280.3</v>
      </c>
      <c r="DC9" s="35">
        <v>1232.4000000000001</v>
      </c>
      <c r="DD9" s="35">
        <v>1246.2</v>
      </c>
      <c r="DE9" s="35">
        <v>1186</v>
      </c>
      <c r="DF9" s="35">
        <v>1181.2</v>
      </c>
      <c r="DG9" s="35">
        <v>1162.5999999999999</v>
      </c>
      <c r="DH9" s="35">
        <v>1165</v>
      </c>
      <c r="DI9" s="35">
        <v>1157.9000000000001</v>
      </c>
      <c r="DJ9" s="35">
        <v>1164</v>
      </c>
      <c r="DK9" s="35">
        <v>1131.5999999999999</v>
      </c>
      <c r="DL9" s="35">
        <v>1118.2</v>
      </c>
      <c r="DM9" s="35">
        <v>1201.43</v>
      </c>
      <c r="DN9" s="35">
        <v>1240</v>
      </c>
      <c r="DO9" s="35">
        <v>1187.5999999999999</v>
      </c>
      <c r="DP9" s="35">
        <v>1198.3</v>
      </c>
      <c r="DQ9" s="35">
        <v>1141.9000000000001</v>
      </c>
      <c r="DR9" s="35">
        <v>1129.55</v>
      </c>
      <c r="DS9" s="35">
        <v>1155.5</v>
      </c>
      <c r="DT9" s="35">
        <v>1126.0999999999999</v>
      </c>
      <c r="DU9" s="35">
        <v>1123.95</v>
      </c>
      <c r="DV9" s="35">
        <v>1129.0999999999999</v>
      </c>
      <c r="DW9" s="35">
        <v>1102</v>
      </c>
      <c r="DX9" s="35">
        <v>1073.2</v>
      </c>
      <c r="DY9" s="35">
        <v>1076.7</v>
      </c>
      <c r="DZ9" s="35">
        <v>1069.9000000000001</v>
      </c>
      <c r="EA9" s="35">
        <v>1052</v>
      </c>
      <c r="EB9" s="35">
        <v>1072</v>
      </c>
      <c r="EC9" s="35">
        <v>1177.3</v>
      </c>
      <c r="ED9" s="35">
        <v>1104.45</v>
      </c>
      <c r="EE9" s="35">
        <v>1142.55</v>
      </c>
      <c r="EF9" s="35">
        <v>1153.93</v>
      </c>
      <c r="EG9" s="35">
        <v>1129.0999999999999</v>
      </c>
      <c r="EH9" s="35">
        <v>1122.3</v>
      </c>
      <c r="EI9" s="35">
        <v>1136.7</v>
      </c>
      <c r="EJ9" s="35">
        <v>1132.55</v>
      </c>
      <c r="EK9" s="35">
        <v>1184.9000000000001</v>
      </c>
      <c r="EL9" s="35">
        <v>1156.4000000000001</v>
      </c>
      <c r="EM9" s="35">
        <v>1135.7</v>
      </c>
      <c r="EN9" s="35">
        <v>1135.2</v>
      </c>
      <c r="EO9" s="35">
        <v>1116.0999999999999</v>
      </c>
      <c r="EP9" s="35">
        <v>1096.8</v>
      </c>
      <c r="EQ9" s="35">
        <v>1083.8</v>
      </c>
      <c r="ER9" s="35">
        <v>1068.5</v>
      </c>
      <c r="ES9" s="35">
        <v>1088.2</v>
      </c>
      <c r="ET9" s="35">
        <v>1081.4000000000001</v>
      </c>
      <c r="EU9" s="35">
        <v>1112.1500000000001</v>
      </c>
      <c r="EV9" s="35">
        <v>1103.95</v>
      </c>
      <c r="EW9" s="35">
        <v>1126</v>
      </c>
      <c r="EX9" s="35">
        <v>1144</v>
      </c>
      <c r="EY9" s="35">
        <v>1116.5999999999999</v>
      </c>
      <c r="EZ9" s="35">
        <v>1111.2</v>
      </c>
      <c r="FA9" s="35">
        <v>1076.75</v>
      </c>
      <c r="FB9" s="35">
        <v>1059.4000000000001</v>
      </c>
      <c r="FC9" s="35">
        <v>1059.5</v>
      </c>
      <c r="FD9" s="60">
        <v>1054.1500000000001</v>
      </c>
      <c r="FE9" s="60">
        <v>1078.8</v>
      </c>
      <c r="FF9" s="60">
        <v>1063.8</v>
      </c>
      <c r="FG9" s="60">
        <v>1067.1300000000001</v>
      </c>
      <c r="FH9" s="60">
        <v>1031.4000000000001</v>
      </c>
      <c r="FI9" s="60">
        <v>1020.1</v>
      </c>
      <c r="FJ9" s="60">
        <v>1013.3</v>
      </c>
      <c r="FK9" s="60">
        <v>1025.8</v>
      </c>
      <c r="FL9" s="60">
        <v>1015.5</v>
      </c>
      <c r="FM9" s="60">
        <v>1056.25</v>
      </c>
      <c r="FN9" s="60">
        <v>1053.4000000000001</v>
      </c>
      <c r="FO9" s="60">
        <v>1102.4000000000001</v>
      </c>
      <c r="FP9" s="60">
        <v>1095.75</v>
      </c>
      <c r="FQ9" s="60">
        <v>1099.0999999999999</v>
      </c>
      <c r="FR9" s="60">
        <v>1099.4000000000001</v>
      </c>
      <c r="FS9" s="60">
        <v>1107.3</v>
      </c>
      <c r="FT9" s="60">
        <v>1069.25</v>
      </c>
      <c r="FU9" s="60">
        <v>1107.25</v>
      </c>
      <c r="FV9" s="60">
        <v>1119.3</v>
      </c>
      <c r="FW9" s="60">
        <v>1169.8800000000001</v>
      </c>
      <c r="FX9" s="60">
        <v>1181.7</v>
      </c>
      <c r="FY9" s="60">
        <v>1195.8</v>
      </c>
      <c r="FZ9" s="60">
        <v>1137.55</v>
      </c>
      <c r="GA9" s="60">
        <v>1156.9000000000001</v>
      </c>
      <c r="GB9" s="60">
        <v>1176.2</v>
      </c>
      <c r="GC9" s="60">
        <v>1206.72</v>
      </c>
      <c r="GD9" s="60">
        <v>1244.3699999999999</v>
      </c>
      <c r="GE9" s="60">
        <v>1145.6600000000001</v>
      </c>
      <c r="GF9" s="60">
        <v>1136.3</v>
      </c>
      <c r="GG9" s="60">
        <v>1188.45</v>
      </c>
      <c r="GH9" s="60">
        <v>1152.94</v>
      </c>
      <c r="GI9" s="60">
        <v>1123.03</v>
      </c>
      <c r="GJ9" s="60">
        <v>1118.4000000000001</v>
      </c>
      <c r="GK9" s="60">
        <v>1092.28</v>
      </c>
      <c r="GL9" s="60">
        <v>1147.0999999999999</v>
      </c>
      <c r="GM9" s="60">
        <v>1166.29</v>
      </c>
      <c r="GN9" s="60">
        <v>1207.6500000000001</v>
      </c>
      <c r="GO9" s="60">
        <v>1168.18</v>
      </c>
      <c r="GP9" s="60">
        <v>1134.7</v>
      </c>
      <c r="GQ9" s="60">
        <v>1118.8800000000001</v>
      </c>
      <c r="GR9" s="60">
        <v>1130.1500000000001</v>
      </c>
      <c r="GS9" s="60">
        <v>1123.4000000000001</v>
      </c>
      <c r="GT9" s="60">
        <v>1145.43</v>
      </c>
      <c r="GU9" s="60">
        <v>1124.25</v>
      </c>
      <c r="GV9" s="60">
        <v>1124.4000000000001</v>
      </c>
      <c r="GW9" s="60">
        <v>1148.9000000000001</v>
      </c>
      <c r="GX9" s="60">
        <v>1122.8</v>
      </c>
      <c r="GY9" s="60">
        <v>1082.3</v>
      </c>
      <c r="GZ9" s="60">
        <v>1068.96</v>
      </c>
      <c r="HA9" s="60">
        <v>1070.43</v>
      </c>
      <c r="HB9" s="60">
        <v>1079.7</v>
      </c>
      <c r="HC9" s="60">
        <v>1063.18</v>
      </c>
      <c r="HD9" s="60">
        <v>1076.5</v>
      </c>
      <c r="HE9" s="60">
        <v>1077.4000000000001</v>
      </c>
      <c r="HF9" s="60">
        <v>1120</v>
      </c>
      <c r="HG9" s="60">
        <v>1116.9000000000001</v>
      </c>
      <c r="HH9" s="60">
        <v>1114.9000000000001</v>
      </c>
      <c r="HI9" s="60">
        <v>1114.05</v>
      </c>
      <c r="HJ9" s="60">
        <v>1140.0999999999999</v>
      </c>
      <c r="HK9" s="96">
        <v>1119</v>
      </c>
      <c r="HL9" s="96">
        <v>1111.4100000000001</v>
      </c>
      <c r="HM9" s="96">
        <v>1111.5999999999999</v>
      </c>
      <c r="HN9" s="96">
        <v>1119.4000000000001</v>
      </c>
      <c r="HO9" s="96">
        <v>1135</v>
      </c>
      <c r="HP9" s="96">
        <v>1160</v>
      </c>
      <c r="HQ9" s="96">
        <v>1192.5</v>
      </c>
      <c r="HR9" s="96">
        <v>1156.5</v>
      </c>
      <c r="HS9" s="96">
        <v>1182.5</v>
      </c>
      <c r="HT9" s="96">
        <v>1209.4000000000001</v>
      </c>
      <c r="HU9" s="96">
        <v>1202.0999999999999</v>
      </c>
      <c r="HV9" s="96">
        <v>1162.52</v>
      </c>
      <c r="HW9" s="96">
        <v>1178.49</v>
      </c>
      <c r="HX9" s="96">
        <v>1156.0999999999999</v>
      </c>
      <c r="HY9" s="96">
        <v>1188.0999999999999</v>
      </c>
      <c r="HZ9" s="96">
        <v>1216.97</v>
      </c>
      <c r="IA9" s="96">
        <v>1221.5</v>
      </c>
      <c r="IB9" s="96">
        <v>1209.98</v>
      </c>
      <c r="IC9" s="96">
        <v>1237.9000000000001</v>
      </c>
      <c r="ID9" s="96">
        <v>1196.71</v>
      </c>
      <c r="IE9" s="96">
        <v>1189</v>
      </c>
      <c r="IF9" s="96">
        <v>1181.5</v>
      </c>
      <c r="IG9" s="96">
        <v>1167.8</v>
      </c>
      <c r="IH9" s="96">
        <v>1129.7</v>
      </c>
      <c r="II9" s="96">
        <v>1104.3</v>
      </c>
      <c r="IJ9" s="96">
        <v>1086.3</v>
      </c>
      <c r="IK9" s="96">
        <v>1113.3800000000001</v>
      </c>
      <c r="IL9" s="96">
        <v>1120.5</v>
      </c>
      <c r="IM9" s="96">
        <v>1133.5</v>
      </c>
      <c r="IN9" s="96">
        <v>1112.55</v>
      </c>
      <c r="IO9" s="96">
        <v>1115.5999999999999</v>
      </c>
      <c r="IP9" s="96">
        <v>1131</v>
      </c>
      <c r="IQ9" s="96">
        <v>1146.01</v>
      </c>
      <c r="IR9" s="96">
        <v>1166.3900000000001</v>
      </c>
      <c r="IS9" s="96">
        <v>1185.03</v>
      </c>
      <c r="IT9" s="96">
        <v>1171.69</v>
      </c>
      <c r="IU9" s="96">
        <v>1188.08</v>
      </c>
      <c r="IV9" s="96">
        <v>1189.1300000000001</v>
      </c>
      <c r="IW9" s="96">
        <v>1205.8</v>
      </c>
      <c r="IX9" s="96">
        <v>1201.44</v>
      </c>
      <c r="IY9" s="96">
        <v>1210.74</v>
      </c>
      <c r="IZ9" s="96">
        <v>1270.3699999999999</v>
      </c>
      <c r="JA9" s="96">
        <v>1238.55</v>
      </c>
      <c r="JB9" s="96">
        <v>1300.75</v>
      </c>
      <c r="JC9" s="96">
        <v>1299.1300000000001</v>
      </c>
      <c r="JD9" s="96">
        <v>1350.39</v>
      </c>
      <c r="JE9" s="96">
        <v>1438.9</v>
      </c>
      <c r="JF9" s="96">
        <v>1421.5</v>
      </c>
      <c r="JG9" s="96">
        <v>1326.92</v>
      </c>
      <c r="JH9" s="96">
        <v>1264.5</v>
      </c>
    </row>
    <row r="10" spans="1:268" ht="23.25" customHeight="1" x14ac:dyDescent="0.2">
      <c r="A10" s="22" t="s">
        <v>41</v>
      </c>
      <c r="B10" s="16" t="s">
        <v>42</v>
      </c>
      <c r="C10" s="75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32">
        <v>7.7979000000000003</v>
      </c>
      <c r="BY10" s="32">
        <v>8.0616000000000003</v>
      </c>
      <c r="BZ10" s="32">
        <v>8.0419999999999998</v>
      </c>
      <c r="CA10" s="32">
        <v>8.0269999999999992</v>
      </c>
      <c r="CB10" s="32">
        <v>8.0161999999999995</v>
      </c>
      <c r="CC10" s="32">
        <v>8.0200999999999993</v>
      </c>
      <c r="CD10" s="32">
        <v>7.9950000000000001</v>
      </c>
      <c r="CE10" s="32">
        <v>7.9791999999999996</v>
      </c>
      <c r="CF10" s="32">
        <v>7.9565000000000001</v>
      </c>
      <c r="CG10" s="32">
        <v>7.9020000000000001</v>
      </c>
      <c r="CH10" s="32">
        <v>7.8788</v>
      </c>
      <c r="CI10" s="32">
        <v>7.8407</v>
      </c>
      <c r="CJ10" s="32">
        <v>7.2941000000000003</v>
      </c>
      <c r="CK10" s="32">
        <v>7.1837999999999997</v>
      </c>
      <c r="CL10" s="32">
        <v>7.11</v>
      </c>
      <c r="CM10" s="32">
        <v>7.0114999999999998</v>
      </c>
      <c r="CN10" s="32">
        <v>6.9844999999999997</v>
      </c>
      <c r="CO10" s="32">
        <v>6.94</v>
      </c>
      <c r="CP10" s="32">
        <v>6.8609999999999998</v>
      </c>
      <c r="CQ10" s="36">
        <v>6.8270999999999997</v>
      </c>
      <c r="CR10" s="36">
        <v>6.8284000000000002</v>
      </c>
      <c r="CS10" s="36">
        <v>6.8170000000000002</v>
      </c>
      <c r="CT10" s="36">
        <v>6.8479999999999999</v>
      </c>
      <c r="CU10" s="36">
        <v>6.8280000000000003</v>
      </c>
      <c r="CV10" s="36">
        <v>6.83</v>
      </c>
      <c r="CW10" s="36">
        <v>6.8380000000000001</v>
      </c>
      <c r="CX10" s="36">
        <v>6.8391000000000002</v>
      </c>
      <c r="CY10" s="36">
        <v>6.8360000000000003</v>
      </c>
      <c r="CZ10" s="36">
        <v>6.8243</v>
      </c>
      <c r="DA10" s="36">
        <v>6.8277999999999999</v>
      </c>
      <c r="DB10" s="36">
        <v>6.8326000000000002</v>
      </c>
      <c r="DC10" s="36">
        <v>6.8310000000000004</v>
      </c>
      <c r="DD10" s="36">
        <v>6.83</v>
      </c>
      <c r="DE10" s="36">
        <v>6.8278999999999996</v>
      </c>
      <c r="DF10" s="36">
        <v>6.8274999999999997</v>
      </c>
      <c r="DG10" s="36">
        <v>6.8284000000000002</v>
      </c>
      <c r="DH10" s="36">
        <v>6.8253000000000004</v>
      </c>
      <c r="DI10" s="36">
        <v>6.8266999999999998</v>
      </c>
      <c r="DJ10" s="36">
        <v>6.8266999999999998</v>
      </c>
      <c r="DK10" s="36">
        <v>6.8257000000000003</v>
      </c>
      <c r="DL10" s="36">
        <v>6.8253000000000004</v>
      </c>
      <c r="DM10" s="36">
        <v>6.8277000000000001</v>
      </c>
      <c r="DN10" s="36">
        <v>6.7976999999999999</v>
      </c>
      <c r="DO10" s="36">
        <v>6.7759</v>
      </c>
      <c r="DP10" s="36">
        <v>6.8029999999999999</v>
      </c>
      <c r="DQ10" s="36">
        <v>6.6867999999999999</v>
      </c>
      <c r="DR10" s="36">
        <v>6.6795</v>
      </c>
      <c r="DS10" s="36">
        <v>6.66</v>
      </c>
      <c r="DT10" s="36">
        <v>6.6070000000000002</v>
      </c>
      <c r="DU10" s="36">
        <v>6.5860000000000003</v>
      </c>
      <c r="DV10" s="36">
        <v>6.5759999999999996</v>
      </c>
      <c r="DW10" s="36">
        <v>6.5559000000000003</v>
      </c>
      <c r="DX10" s="36">
        <v>6.5012999999999996</v>
      </c>
      <c r="DY10" s="36">
        <v>6.4828999999999999</v>
      </c>
      <c r="DZ10" s="36">
        <v>6.4633000000000003</v>
      </c>
      <c r="EA10" s="36">
        <v>6.4419000000000004</v>
      </c>
      <c r="EB10" s="36">
        <v>6.3803000000000001</v>
      </c>
      <c r="EC10" s="36">
        <v>6.4006999999999996</v>
      </c>
      <c r="ED10" s="36">
        <v>6.3594999999999997</v>
      </c>
      <c r="EE10" s="36">
        <v>6.3765999999999998</v>
      </c>
      <c r="EF10" s="36">
        <v>6.3186</v>
      </c>
      <c r="EG10" s="36">
        <v>6.33</v>
      </c>
      <c r="EH10" s="36">
        <v>6.2991000000000001</v>
      </c>
      <c r="EI10" s="36">
        <v>6.3063000000000002</v>
      </c>
      <c r="EJ10" s="36">
        <v>6.3094999999999999</v>
      </c>
      <c r="EK10" s="36">
        <v>6.3575999999999997</v>
      </c>
      <c r="EL10" s="36">
        <v>6.3571999999999997</v>
      </c>
      <c r="EM10" s="36">
        <v>6.3792999999999997</v>
      </c>
      <c r="EN10" s="36">
        <v>6.3493000000000004</v>
      </c>
      <c r="EO10" s="36">
        <v>6.3019999999999996</v>
      </c>
      <c r="EP10" s="36">
        <v>6.2384000000000004</v>
      </c>
      <c r="EQ10" s="36">
        <v>6.2182000000000004</v>
      </c>
      <c r="ER10" s="36">
        <v>6.2314999999999996</v>
      </c>
      <c r="ES10" s="36">
        <v>6.2199</v>
      </c>
      <c r="ET10" s="36">
        <v>6.2262000000000004</v>
      </c>
      <c r="EU10" s="36">
        <v>6.2138</v>
      </c>
      <c r="EV10" s="36">
        <v>6.1550000000000002</v>
      </c>
      <c r="EW10" s="36">
        <v>6.1310000000000002</v>
      </c>
      <c r="EX10" s="36">
        <v>6.1486999999999998</v>
      </c>
      <c r="EY10" s="36">
        <v>6.1310000000000002</v>
      </c>
      <c r="EZ10" s="36">
        <v>6.12</v>
      </c>
      <c r="FA10" s="36">
        <v>6.1177000000000001</v>
      </c>
      <c r="FB10" s="36">
        <v>6.0934999999999997</v>
      </c>
      <c r="FC10" s="36">
        <v>6.0917000000000003</v>
      </c>
      <c r="FD10" s="61">
        <v>6.0614999999999997</v>
      </c>
      <c r="FE10" s="61">
        <v>6.0593000000000004</v>
      </c>
      <c r="FF10" s="61">
        <v>6.1273</v>
      </c>
      <c r="FG10" s="61">
        <v>6.2117000000000004</v>
      </c>
      <c r="FH10" s="61">
        <v>6.2591999999999999</v>
      </c>
      <c r="FI10" s="61">
        <v>6.2388000000000003</v>
      </c>
      <c r="FJ10" s="61">
        <v>6.2176</v>
      </c>
      <c r="FK10" s="61">
        <v>6.1715</v>
      </c>
      <c r="FL10" s="61">
        <v>6.1433</v>
      </c>
      <c r="FM10" s="61">
        <v>6.1516999999999999</v>
      </c>
      <c r="FN10" s="61">
        <v>6.1143999999999998</v>
      </c>
      <c r="FO10" s="61">
        <v>6.1375999999999999</v>
      </c>
      <c r="FP10" s="61">
        <v>6.2008999999999999</v>
      </c>
      <c r="FQ10" s="61">
        <v>6.2462</v>
      </c>
      <c r="FR10" s="61">
        <v>6.2582000000000004</v>
      </c>
      <c r="FS10" s="61">
        <v>6.2073</v>
      </c>
      <c r="FT10" s="61">
        <v>6.1988000000000003</v>
      </c>
      <c r="FU10" s="61">
        <v>6.2005999999999997</v>
      </c>
      <c r="FV10" s="61">
        <v>6.2083000000000004</v>
      </c>
      <c r="FW10" s="61">
        <v>6.2096</v>
      </c>
      <c r="FX10" s="61">
        <v>6.3888999999999996</v>
      </c>
      <c r="FY10" s="61">
        <v>6.3635999999999999</v>
      </c>
      <c r="FZ10" s="61">
        <v>6.3560999999999996</v>
      </c>
      <c r="GA10" s="61">
        <v>6.3939000000000004</v>
      </c>
      <c r="GB10" s="61">
        <v>6.4897</v>
      </c>
      <c r="GC10" s="61">
        <v>6.5743999999999998</v>
      </c>
      <c r="GD10" s="61">
        <v>6.5389999999999997</v>
      </c>
      <c r="GE10" s="61">
        <v>6.4649999999999999</v>
      </c>
      <c r="GF10" s="61">
        <v>6.4736000000000002</v>
      </c>
      <c r="GG10" s="61">
        <v>6.5810000000000004</v>
      </c>
      <c r="GH10" s="61">
        <v>6.6349999999999998</v>
      </c>
      <c r="GI10" s="61">
        <v>6.6539999999999999</v>
      </c>
      <c r="GJ10" s="61">
        <v>6.6769999999999996</v>
      </c>
      <c r="GK10" s="61">
        <v>6.673</v>
      </c>
      <c r="GL10" s="61">
        <v>6.7759999999999998</v>
      </c>
      <c r="GM10" s="61">
        <v>6.8962000000000003</v>
      </c>
      <c r="GN10" s="61">
        <v>6.9547999999999996</v>
      </c>
      <c r="GO10" s="61">
        <v>6.8775000000000004</v>
      </c>
      <c r="GP10" s="61">
        <v>6.8674999999999997</v>
      </c>
      <c r="GQ10" s="61">
        <v>6.8869999999999996</v>
      </c>
      <c r="GR10" s="61">
        <v>6.8958000000000004</v>
      </c>
      <c r="GS10" s="61">
        <v>6.8525</v>
      </c>
      <c r="GT10" s="61">
        <v>6.7839999999999998</v>
      </c>
      <c r="GU10" s="61">
        <v>6.7351999999999999</v>
      </c>
      <c r="GV10" s="61">
        <v>6.5926</v>
      </c>
      <c r="GW10" s="61">
        <v>6.6524999999999999</v>
      </c>
      <c r="GX10" s="61">
        <v>6.6440000000000001</v>
      </c>
      <c r="GY10" s="61">
        <v>6.6094999999999997</v>
      </c>
      <c r="GZ10" s="61">
        <v>6.5324999999999998</v>
      </c>
      <c r="HA10" s="61">
        <v>6.335</v>
      </c>
      <c r="HB10" s="61">
        <v>6.3169000000000004</v>
      </c>
      <c r="HC10" s="61">
        <v>6.2876000000000003</v>
      </c>
      <c r="HD10" s="61">
        <v>6.3304999999999998</v>
      </c>
      <c r="HE10" s="61">
        <v>6.4175000000000004</v>
      </c>
      <c r="HF10" s="61">
        <v>6.6234999999999999</v>
      </c>
      <c r="HG10" s="61">
        <v>6.8102</v>
      </c>
      <c r="HH10" s="61">
        <v>6.8414999999999999</v>
      </c>
      <c r="HI10" s="61">
        <v>6.8879999999999999</v>
      </c>
      <c r="HJ10" s="61">
        <v>6.9663000000000004</v>
      </c>
      <c r="HK10" s="97">
        <v>6.9419000000000004</v>
      </c>
      <c r="HL10" s="97">
        <v>6.8754999999999997</v>
      </c>
      <c r="HM10" s="97">
        <v>6.7152000000000003</v>
      </c>
      <c r="HN10" s="97">
        <v>6.6847000000000003</v>
      </c>
      <c r="HO10" s="97">
        <v>6.7381000000000002</v>
      </c>
      <c r="HP10" s="97">
        <v>6.7332000000000001</v>
      </c>
      <c r="HQ10" s="97">
        <v>6.9010999999999996</v>
      </c>
      <c r="HR10" s="97">
        <v>6.8761999999999999</v>
      </c>
      <c r="HS10" s="97">
        <v>6.8833000000000002</v>
      </c>
      <c r="HT10" s="97">
        <v>7.1433999999999997</v>
      </c>
      <c r="HU10" s="97">
        <v>7.1218000000000004</v>
      </c>
      <c r="HV10" s="97">
        <v>7.0545999999999998</v>
      </c>
      <c r="HW10" s="97">
        <v>7.0347</v>
      </c>
      <c r="HX10" s="97">
        <v>6.9863999999999997</v>
      </c>
      <c r="HY10" s="97">
        <v>6.9108999999999998</v>
      </c>
      <c r="HZ10" s="97">
        <v>7.0037000000000003</v>
      </c>
      <c r="IA10" s="97">
        <v>7.0986000000000002</v>
      </c>
      <c r="IB10" s="97">
        <v>7.0753000000000004</v>
      </c>
      <c r="IC10" s="97">
        <v>7.1447000000000003</v>
      </c>
      <c r="ID10" s="97">
        <v>7.0793999999999997</v>
      </c>
      <c r="IE10" s="97">
        <v>7.008</v>
      </c>
      <c r="IF10" s="97">
        <v>6.8654000000000002</v>
      </c>
      <c r="IG10" s="97">
        <v>6.8148999999999997</v>
      </c>
      <c r="IH10" s="97">
        <v>6.7043999999999997</v>
      </c>
      <c r="II10" s="97">
        <v>6.5762999999999998</v>
      </c>
      <c r="IJ10" s="97">
        <v>6.5220000000000002</v>
      </c>
      <c r="IK10" s="97">
        <v>6.4489999999999998</v>
      </c>
      <c r="IL10" s="97">
        <v>6.4541000000000004</v>
      </c>
      <c r="IM10" s="97">
        <v>6.5712000000000002</v>
      </c>
      <c r="IN10" s="97">
        <v>6.4770000000000003</v>
      </c>
      <c r="IO10" s="97">
        <v>6.3673999999999999</v>
      </c>
      <c r="IP10" s="97">
        <v>6.4634999999999998</v>
      </c>
      <c r="IQ10" s="97">
        <v>6.4561999999999999</v>
      </c>
      <c r="IR10" s="97">
        <v>6.4660000000000002</v>
      </c>
      <c r="IS10" s="97">
        <v>6.4703999999999997</v>
      </c>
      <c r="IT10" s="97">
        <v>6.3914999999999997</v>
      </c>
      <c r="IU10" s="97">
        <v>6.3875000000000002</v>
      </c>
      <c r="IV10" s="97">
        <v>6.3726000000000003</v>
      </c>
      <c r="IW10" s="97">
        <v>6.3609</v>
      </c>
      <c r="IX10" s="97">
        <v>6.3170000000000002</v>
      </c>
      <c r="IY10" s="97">
        <v>6.3470000000000004</v>
      </c>
      <c r="IZ10" s="97">
        <v>6.6254999999999997</v>
      </c>
      <c r="JA10" s="97">
        <v>6.6597</v>
      </c>
      <c r="JB10" s="97">
        <v>6.7</v>
      </c>
      <c r="JC10" s="97">
        <v>6.7465999999999999</v>
      </c>
      <c r="JD10" s="97">
        <v>6.9080000000000004</v>
      </c>
      <c r="JE10" s="97">
        <v>7.1208999999999998</v>
      </c>
      <c r="JF10" s="97">
        <v>7.2499000000000002</v>
      </c>
      <c r="JG10" s="97">
        <v>7.157</v>
      </c>
      <c r="JH10" s="97">
        <v>6.9466000000000001</v>
      </c>
    </row>
    <row r="11" spans="1:268" ht="23.25" customHeight="1" x14ac:dyDescent="0.2">
      <c r="A11" s="22" t="s">
        <v>5</v>
      </c>
      <c r="B11" s="16" t="s">
        <v>19</v>
      </c>
      <c r="C11" s="73">
        <v>31.38</v>
      </c>
      <c r="D11" s="11">
        <v>33.1</v>
      </c>
      <c r="E11" s="9">
        <v>32.35</v>
      </c>
      <c r="F11" s="9">
        <v>32.299999999999997</v>
      </c>
      <c r="G11" s="9">
        <v>32.57</v>
      </c>
      <c r="H11" s="9">
        <v>32.869999999999997</v>
      </c>
      <c r="I11" s="11">
        <v>33.92</v>
      </c>
      <c r="J11" s="11">
        <v>34.4</v>
      </c>
      <c r="K11" s="11">
        <v>34.67</v>
      </c>
      <c r="L11" s="11">
        <v>34.520000000000003</v>
      </c>
      <c r="M11" s="11">
        <v>34.520000000000003</v>
      </c>
      <c r="N11" s="11">
        <v>34.47</v>
      </c>
      <c r="O11" s="11">
        <v>34.42</v>
      </c>
      <c r="P11" s="11">
        <v>35.020000000000003</v>
      </c>
      <c r="Q11" s="11">
        <v>34.945</v>
      </c>
      <c r="R11" s="11">
        <v>35.01</v>
      </c>
      <c r="S11" s="11">
        <v>34.909999999999997</v>
      </c>
      <c r="T11" s="11">
        <v>34.68</v>
      </c>
      <c r="U11" s="11">
        <v>33.96</v>
      </c>
      <c r="V11" s="11">
        <v>33.520000000000003</v>
      </c>
      <c r="W11" s="11">
        <v>33.76</v>
      </c>
      <c r="X11" s="11">
        <v>34.15</v>
      </c>
      <c r="Y11" s="11">
        <v>34.82</v>
      </c>
      <c r="Z11" s="11">
        <v>34.79</v>
      </c>
      <c r="AA11" s="11">
        <v>34.78</v>
      </c>
      <c r="AB11" s="11">
        <v>34.840000000000003</v>
      </c>
      <c r="AC11" s="11">
        <v>34.549999999999997</v>
      </c>
      <c r="AD11" s="11">
        <v>34.630000000000003</v>
      </c>
      <c r="AE11" s="11">
        <v>34.75</v>
      </c>
      <c r="AF11" s="11">
        <v>34.79</v>
      </c>
      <c r="AG11" s="11">
        <v>34.65</v>
      </c>
      <c r="AH11" s="11">
        <v>34.51</v>
      </c>
      <c r="AI11" s="11">
        <v>34.299999999999997</v>
      </c>
      <c r="AJ11" s="11">
        <v>34.19</v>
      </c>
      <c r="AK11" s="11">
        <v>33.700000000000003</v>
      </c>
      <c r="AL11" s="11">
        <v>33.880000000000003</v>
      </c>
      <c r="AM11" s="11">
        <v>34.19</v>
      </c>
      <c r="AN11" s="11">
        <v>33.96</v>
      </c>
      <c r="AO11" s="11">
        <v>33.35</v>
      </c>
      <c r="AP11" s="11">
        <v>33.299999999999997</v>
      </c>
      <c r="AQ11" s="11">
        <v>33.08</v>
      </c>
      <c r="AR11" s="11">
        <v>33.25</v>
      </c>
      <c r="AS11" s="11">
        <v>33.35</v>
      </c>
      <c r="AT11" s="11">
        <v>33.619999999999997</v>
      </c>
      <c r="AU11" s="11">
        <v>34</v>
      </c>
      <c r="AV11" s="11">
        <v>33.86</v>
      </c>
      <c r="AW11" s="11">
        <v>34</v>
      </c>
      <c r="AX11" s="11">
        <v>33.6</v>
      </c>
      <c r="AY11" s="11">
        <v>32.15</v>
      </c>
      <c r="AZ11" s="11">
        <v>31.79</v>
      </c>
      <c r="BA11" s="11">
        <v>31.78</v>
      </c>
      <c r="BB11" s="11">
        <v>33.255000000000003</v>
      </c>
      <c r="BC11" s="11">
        <v>31.725999999999999</v>
      </c>
      <c r="BD11" s="11">
        <v>31.145</v>
      </c>
      <c r="BE11" s="11">
        <v>31.349</v>
      </c>
      <c r="BF11" s="11">
        <v>31.65</v>
      </c>
      <c r="BG11" s="11">
        <v>31.864999999999998</v>
      </c>
      <c r="BH11" s="11">
        <v>32.615000000000002</v>
      </c>
      <c r="BI11" s="11">
        <v>33.173000000000002</v>
      </c>
      <c r="BJ11" s="11">
        <v>33.665999999999997</v>
      </c>
      <c r="BK11" s="11">
        <v>33.51</v>
      </c>
      <c r="BL11" s="11">
        <v>32.895000000000003</v>
      </c>
      <c r="BM11" s="11">
        <v>39.115000000000002</v>
      </c>
      <c r="BN11" s="11">
        <v>32.445</v>
      </c>
      <c r="BO11" s="11">
        <v>32.53</v>
      </c>
      <c r="BP11" s="11">
        <v>31.914000000000001</v>
      </c>
      <c r="BQ11" s="11">
        <v>32.014000000000003</v>
      </c>
      <c r="BR11" s="11">
        <v>32.6</v>
      </c>
      <c r="BS11" s="11">
        <v>32.780999999999999</v>
      </c>
      <c r="BT11" s="11">
        <v>32.89</v>
      </c>
      <c r="BU11" s="11">
        <v>32.957000000000001</v>
      </c>
      <c r="BV11" s="11">
        <v>33.225000000000001</v>
      </c>
      <c r="BW11" s="11">
        <v>32.494999999999997</v>
      </c>
      <c r="BX11" s="11">
        <v>32.659999999999997</v>
      </c>
      <c r="BY11" s="11">
        <v>32.968000000000004</v>
      </c>
      <c r="BZ11" s="11">
        <v>32.945999999999998</v>
      </c>
      <c r="CA11" s="11">
        <v>33.1</v>
      </c>
      <c r="CB11" s="11">
        <v>33.265000000000001</v>
      </c>
      <c r="CC11" s="11">
        <v>33.008000000000003</v>
      </c>
      <c r="CD11" s="11">
        <v>32.83</v>
      </c>
      <c r="CE11" s="11">
        <v>32.78</v>
      </c>
      <c r="CF11" s="11">
        <v>33.049999999999997</v>
      </c>
      <c r="CG11" s="11">
        <v>32.755000000000003</v>
      </c>
      <c r="CH11" s="11">
        <v>32.39</v>
      </c>
      <c r="CI11" s="11">
        <v>32.295999999999999</v>
      </c>
      <c r="CJ11" s="11">
        <v>32.499000000000002</v>
      </c>
      <c r="CK11" s="11">
        <v>32.171999999999997</v>
      </c>
      <c r="CL11" s="11">
        <v>30.902999999999999</v>
      </c>
      <c r="CM11" s="11">
        <v>30.49</v>
      </c>
      <c r="CN11" s="11">
        <v>30.401</v>
      </c>
      <c r="CO11" s="11">
        <v>30.44</v>
      </c>
      <c r="CP11" s="11">
        <v>30.367000000000001</v>
      </c>
      <c r="CQ11" s="34">
        <v>30.504999999999999</v>
      </c>
      <c r="CR11" s="34">
        <v>30.475999999999999</v>
      </c>
      <c r="CS11" s="34">
        <v>32.002000000000002</v>
      </c>
      <c r="CT11" s="34">
        <v>33.283000000000001</v>
      </c>
      <c r="CU11" s="34">
        <v>33.295000000000002</v>
      </c>
      <c r="CV11" s="34">
        <v>32.750999999999998</v>
      </c>
      <c r="CW11" s="34">
        <v>33.682000000000002</v>
      </c>
      <c r="CX11" s="34">
        <v>34.841000000000001</v>
      </c>
      <c r="CY11" s="34">
        <v>33.99</v>
      </c>
      <c r="CZ11" s="34">
        <v>33.645000000000003</v>
      </c>
      <c r="DA11" s="34">
        <v>32.53</v>
      </c>
      <c r="DB11" s="34">
        <v>32.93</v>
      </c>
      <c r="DC11" s="34">
        <v>32.780999999999999</v>
      </c>
      <c r="DD11" s="34">
        <v>32.914999999999999</v>
      </c>
      <c r="DE11" s="34">
        <v>32.369999999999997</v>
      </c>
      <c r="DF11" s="34">
        <v>32.494999999999997</v>
      </c>
      <c r="DG11" s="34">
        <v>32.299999999999997</v>
      </c>
      <c r="DH11" s="34">
        <v>32.162999999999997</v>
      </c>
      <c r="DI11" s="34">
        <v>31.97</v>
      </c>
      <c r="DJ11" s="34">
        <v>33.06</v>
      </c>
      <c r="DK11" s="34">
        <v>31.783999999999999</v>
      </c>
      <c r="DL11" s="34">
        <v>31.39</v>
      </c>
      <c r="DM11" s="34">
        <v>31.956</v>
      </c>
      <c r="DN11" s="34">
        <v>32.270000000000003</v>
      </c>
      <c r="DO11" s="34">
        <v>31.97</v>
      </c>
      <c r="DP11" s="34">
        <v>32.049999999999997</v>
      </c>
      <c r="DQ11" s="34">
        <v>31.23</v>
      </c>
      <c r="DR11" s="34">
        <v>30.731000000000002</v>
      </c>
      <c r="DS11" s="34">
        <v>30.405999999999999</v>
      </c>
      <c r="DT11" s="34">
        <v>29.11</v>
      </c>
      <c r="DU11" s="34">
        <v>29</v>
      </c>
      <c r="DV11" s="34">
        <v>29.74</v>
      </c>
      <c r="DW11" s="34">
        <v>29.475999999999999</v>
      </c>
      <c r="DX11" s="34">
        <v>28.670999999999999</v>
      </c>
      <c r="DY11" s="34">
        <v>28.765000000000001</v>
      </c>
      <c r="DZ11" s="34">
        <v>28.870999999999999</v>
      </c>
      <c r="EA11" s="34">
        <v>28.788</v>
      </c>
      <c r="EB11" s="34">
        <v>29.021999999999998</v>
      </c>
      <c r="EC11" s="34">
        <v>30.405000000000001</v>
      </c>
      <c r="ED11" s="34">
        <v>30.052</v>
      </c>
      <c r="EE11" s="34">
        <v>30.373000000000001</v>
      </c>
      <c r="EF11" s="34">
        <v>30.364000000000001</v>
      </c>
      <c r="EG11" s="34">
        <v>29.734999999999999</v>
      </c>
      <c r="EH11" s="34">
        <v>29.57</v>
      </c>
      <c r="EI11" s="34">
        <v>29.545999999999999</v>
      </c>
      <c r="EJ11" s="34">
        <v>29.27</v>
      </c>
      <c r="EK11" s="34">
        <v>29.702999999999999</v>
      </c>
      <c r="EL11" s="34">
        <v>29.914999999999999</v>
      </c>
      <c r="EM11" s="34">
        <v>30.048999999999999</v>
      </c>
      <c r="EN11" s="34">
        <v>29.925000000000001</v>
      </c>
      <c r="EO11" s="34">
        <v>29.353000000000002</v>
      </c>
      <c r="EP11" s="34">
        <v>29.254999999999999</v>
      </c>
      <c r="EQ11" s="34">
        <v>29.1</v>
      </c>
      <c r="ER11" s="34">
        <v>29.03</v>
      </c>
      <c r="ES11" s="34">
        <v>29.486000000000001</v>
      </c>
      <c r="ET11" s="34">
        <v>29.658000000000001</v>
      </c>
      <c r="EU11" s="34">
        <v>29.884</v>
      </c>
      <c r="EV11" s="34">
        <v>29.51</v>
      </c>
      <c r="EW11" s="34">
        <v>29.97</v>
      </c>
      <c r="EX11" s="34">
        <v>30.01</v>
      </c>
      <c r="EY11" s="34">
        <v>29.93</v>
      </c>
      <c r="EZ11" s="34">
        <v>29.95</v>
      </c>
      <c r="FA11" s="34">
        <v>29.55</v>
      </c>
      <c r="FB11" s="34">
        <v>29.39</v>
      </c>
      <c r="FC11" s="34">
        <v>29.61</v>
      </c>
      <c r="FD11" s="59">
        <v>29.9</v>
      </c>
      <c r="FE11" s="59">
        <v>30.35</v>
      </c>
      <c r="FF11" s="59">
        <v>30.3</v>
      </c>
      <c r="FG11" s="59">
        <v>30.49</v>
      </c>
      <c r="FH11" s="59">
        <v>30.18</v>
      </c>
      <c r="FI11" s="59">
        <v>30.03</v>
      </c>
      <c r="FJ11" s="59">
        <v>29.9</v>
      </c>
      <c r="FK11" s="59">
        <v>29.95</v>
      </c>
      <c r="FL11" s="59">
        <v>29.9</v>
      </c>
      <c r="FM11" s="59">
        <v>30.48</v>
      </c>
      <c r="FN11" s="59">
        <v>30.38</v>
      </c>
      <c r="FO11" s="59">
        <v>30.86</v>
      </c>
      <c r="FP11" s="59">
        <v>31.73</v>
      </c>
      <c r="FQ11" s="59">
        <v>31.5</v>
      </c>
      <c r="FR11" s="59">
        <v>31.36</v>
      </c>
      <c r="FS11" s="59">
        <v>31.3</v>
      </c>
      <c r="FT11" s="59">
        <v>30.46</v>
      </c>
      <c r="FU11" s="59">
        <v>30.59</v>
      </c>
      <c r="FV11" s="59">
        <v>30.97</v>
      </c>
      <c r="FW11" s="59">
        <v>31.53</v>
      </c>
      <c r="FX11" s="59">
        <v>32.24</v>
      </c>
      <c r="FY11" s="59">
        <v>33.119999999999997</v>
      </c>
      <c r="FZ11" s="59">
        <v>32.61</v>
      </c>
      <c r="GA11" s="59">
        <v>32.65</v>
      </c>
      <c r="GB11" s="59">
        <v>32.93</v>
      </c>
      <c r="GC11" s="59">
        <v>33.58</v>
      </c>
      <c r="GD11" s="59">
        <v>33.22</v>
      </c>
      <c r="GE11" s="59">
        <v>32.26</v>
      </c>
      <c r="GF11" s="59">
        <v>32.28</v>
      </c>
      <c r="GG11" s="59">
        <v>32.619999999999997</v>
      </c>
      <c r="GH11" s="59">
        <v>32.299999999999997</v>
      </c>
      <c r="GI11" s="59">
        <v>31.94</v>
      </c>
      <c r="GJ11" s="59">
        <v>31.71</v>
      </c>
      <c r="GK11" s="59">
        <v>31.34</v>
      </c>
      <c r="GL11" s="59">
        <v>31.6</v>
      </c>
      <c r="GM11" s="59">
        <v>31.82</v>
      </c>
      <c r="GN11" s="59">
        <v>32.299999999999997</v>
      </c>
      <c r="GO11" s="59">
        <v>31.52</v>
      </c>
      <c r="GP11" s="59">
        <v>30.65</v>
      </c>
      <c r="GQ11" s="59">
        <v>30.3</v>
      </c>
      <c r="GR11" s="59">
        <v>30.16</v>
      </c>
      <c r="GS11" s="59">
        <v>30.2</v>
      </c>
      <c r="GT11" s="59">
        <v>30.38</v>
      </c>
      <c r="GU11" s="59">
        <v>30.23</v>
      </c>
      <c r="GV11" s="59">
        <v>30.12</v>
      </c>
      <c r="GW11" s="59">
        <v>30.37</v>
      </c>
      <c r="GX11" s="59">
        <v>30.19</v>
      </c>
      <c r="GY11" s="59">
        <v>29.96</v>
      </c>
      <c r="GZ11" s="59">
        <v>29.76</v>
      </c>
      <c r="HA11" s="59">
        <v>29.16</v>
      </c>
      <c r="HB11" s="59">
        <v>29.22</v>
      </c>
      <c r="HC11" s="59">
        <v>29.17</v>
      </c>
      <c r="HD11" s="59">
        <v>29.63</v>
      </c>
      <c r="HE11" s="59">
        <v>30.02</v>
      </c>
      <c r="HF11" s="59">
        <v>30.57</v>
      </c>
      <c r="HG11" s="59">
        <v>30.6</v>
      </c>
      <c r="HH11" s="59">
        <v>30.68</v>
      </c>
      <c r="HI11" s="59">
        <v>30.57</v>
      </c>
      <c r="HJ11" s="59">
        <v>30.98</v>
      </c>
      <c r="HK11" s="95">
        <v>30.81</v>
      </c>
      <c r="HL11" s="95">
        <v>30.54</v>
      </c>
      <c r="HM11" s="95">
        <v>30.77</v>
      </c>
      <c r="HN11" s="95">
        <v>30.77</v>
      </c>
      <c r="HO11" s="95">
        <v>30.85</v>
      </c>
      <c r="HP11" s="95">
        <v>30.9</v>
      </c>
      <c r="HQ11" s="95">
        <v>31.6</v>
      </c>
      <c r="HR11" s="95">
        <v>31.09</v>
      </c>
      <c r="HS11" s="95">
        <v>31.06</v>
      </c>
      <c r="HT11" s="95">
        <v>31.42</v>
      </c>
      <c r="HU11" s="95">
        <v>31.03</v>
      </c>
      <c r="HV11" s="95">
        <v>30.44</v>
      </c>
      <c r="HW11" s="95">
        <v>30.5</v>
      </c>
      <c r="HX11" s="95">
        <v>30.01</v>
      </c>
      <c r="HY11" s="95">
        <v>30.26</v>
      </c>
      <c r="HZ11" s="95">
        <v>30.24</v>
      </c>
      <c r="IA11" s="95">
        <v>30.2</v>
      </c>
      <c r="IB11" s="95">
        <v>29.89</v>
      </c>
      <c r="IC11" s="95">
        <v>30.01</v>
      </c>
      <c r="ID11" s="95">
        <v>29.46</v>
      </c>
      <c r="IE11" s="95">
        <v>29.3</v>
      </c>
      <c r="IF11" s="95">
        <v>29.44</v>
      </c>
      <c r="IG11" s="95">
        <v>29</v>
      </c>
      <c r="IH11" s="95">
        <v>28.56</v>
      </c>
      <c r="II11" s="95">
        <v>28.5</v>
      </c>
      <c r="IJ11" s="95">
        <v>28.1</v>
      </c>
      <c r="IK11" s="95">
        <v>28.03</v>
      </c>
      <c r="IL11" s="95">
        <v>27.77</v>
      </c>
      <c r="IM11" s="95">
        <v>28.52</v>
      </c>
      <c r="IN11" s="95">
        <v>27.91</v>
      </c>
      <c r="IO11" s="95">
        <v>27.71</v>
      </c>
      <c r="IP11" s="95">
        <v>27.9</v>
      </c>
      <c r="IQ11" s="95">
        <v>27.91</v>
      </c>
      <c r="IR11" s="95">
        <v>27.76</v>
      </c>
      <c r="IS11" s="95">
        <v>27.79</v>
      </c>
      <c r="IT11" s="95">
        <v>27.79</v>
      </c>
      <c r="IU11" s="95">
        <v>27.78</v>
      </c>
      <c r="IV11" s="95">
        <v>27.67</v>
      </c>
      <c r="IW11" s="95">
        <v>27.82</v>
      </c>
      <c r="IX11" s="95">
        <v>27.98</v>
      </c>
      <c r="IY11" s="95">
        <v>28.54</v>
      </c>
      <c r="IZ11" s="95">
        <v>29.51</v>
      </c>
      <c r="JA11" s="95">
        <v>28.95</v>
      </c>
      <c r="JB11" s="95">
        <v>29.67</v>
      </c>
      <c r="JC11" s="95">
        <v>29.93</v>
      </c>
      <c r="JD11" s="95">
        <v>30.43</v>
      </c>
      <c r="JE11" s="95">
        <v>31.85</v>
      </c>
      <c r="JF11" s="95">
        <v>32.15</v>
      </c>
      <c r="JG11" s="95">
        <v>30.91</v>
      </c>
      <c r="JH11" s="95">
        <v>30.71</v>
      </c>
    </row>
    <row r="12" spans="1:268" ht="21" customHeight="1" x14ac:dyDescent="0.25">
      <c r="A12" s="23" t="s">
        <v>33</v>
      </c>
      <c r="B12" s="16"/>
      <c r="C12" s="73"/>
      <c r="D12" s="9"/>
      <c r="E12" s="9"/>
      <c r="F12" s="9"/>
      <c r="G12" s="9"/>
      <c r="H12" s="9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34"/>
      <c r="EV12" s="34"/>
      <c r="EW12" s="34"/>
      <c r="EX12" s="34"/>
      <c r="EY12" s="34"/>
      <c r="EZ12" s="34"/>
      <c r="FA12" s="34"/>
      <c r="FB12" s="34"/>
      <c r="FC12" s="34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  <c r="IQ12" s="95"/>
      <c r="IR12" s="95"/>
      <c r="IS12" s="95"/>
      <c r="IT12" s="95"/>
      <c r="IU12" s="95"/>
      <c r="IV12" s="95"/>
      <c r="IW12" s="95"/>
      <c r="IX12" s="95"/>
      <c r="IY12" s="95"/>
      <c r="IZ12" s="95"/>
      <c r="JA12" s="95"/>
      <c r="JB12" s="95"/>
      <c r="JC12" s="95"/>
      <c r="JD12" s="95"/>
      <c r="JE12" s="95"/>
      <c r="JF12" s="95"/>
      <c r="JG12" s="95"/>
      <c r="JH12" s="95"/>
    </row>
    <row r="13" spans="1:268" ht="23.25" customHeight="1" x14ac:dyDescent="0.2">
      <c r="A13" s="29" t="s">
        <v>13</v>
      </c>
      <c r="B13" s="16" t="s">
        <v>30</v>
      </c>
      <c r="C13" s="76">
        <v>3792</v>
      </c>
      <c r="D13" s="20">
        <v>3915</v>
      </c>
      <c r="E13" s="20">
        <v>3918</v>
      </c>
      <c r="F13" s="20">
        <v>3918</v>
      </c>
      <c r="G13" s="20">
        <v>3919</v>
      </c>
      <c r="H13" s="20">
        <v>3935</v>
      </c>
      <c r="I13" s="20">
        <v>3937</v>
      </c>
      <c r="J13" s="20">
        <v>3923</v>
      </c>
      <c r="K13" s="20">
        <v>3944</v>
      </c>
      <c r="L13" s="20">
        <v>3944</v>
      </c>
      <c r="M13" s="20">
        <v>3956</v>
      </c>
      <c r="N13" s="20">
        <v>3954</v>
      </c>
      <c r="O13" s="20">
        <v>3931</v>
      </c>
      <c r="P13" s="20">
        <v>3902</v>
      </c>
      <c r="Q13" s="20">
        <v>3904</v>
      </c>
      <c r="R13" s="20">
        <v>3916</v>
      </c>
      <c r="S13" s="20">
        <v>3900</v>
      </c>
      <c r="T13" s="20">
        <v>3921</v>
      </c>
      <c r="U13" s="20">
        <v>3915</v>
      </c>
      <c r="V13" s="20">
        <v>3921</v>
      </c>
      <c r="W13" s="20">
        <v>3920</v>
      </c>
      <c r="X13" s="20">
        <v>3932</v>
      </c>
      <c r="Y13" s="20">
        <v>3966</v>
      </c>
      <c r="Z13" s="20">
        <v>3952</v>
      </c>
      <c r="AA13" s="20">
        <v>3940</v>
      </c>
      <c r="AB13" s="20">
        <v>3939</v>
      </c>
      <c r="AC13" s="20">
        <v>3945</v>
      </c>
      <c r="AD13" s="20">
        <v>3950</v>
      </c>
      <c r="AE13" s="20">
        <v>3950</v>
      </c>
      <c r="AF13" s="20">
        <v>3993</v>
      </c>
      <c r="AG13" s="20">
        <v>4035</v>
      </c>
      <c r="AH13" s="20">
        <v>3986</v>
      </c>
      <c r="AI13" s="20">
        <v>3990</v>
      </c>
      <c r="AJ13" s="20">
        <v>4041</v>
      </c>
      <c r="AK13" s="20">
        <v>3999</v>
      </c>
      <c r="AL13" s="20">
        <v>3998</v>
      </c>
      <c r="AM13" s="20">
        <v>3998</v>
      </c>
      <c r="AN13" s="20">
        <v>3981</v>
      </c>
      <c r="AO13" s="20">
        <v>3999</v>
      </c>
      <c r="AP13" s="20">
        <v>3997</v>
      </c>
      <c r="AQ13" s="20">
        <v>3992</v>
      </c>
      <c r="AR13" s="20">
        <v>4014</v>
      </c>
      <c r="AS13" s="20">
        <v>4040</v>
      </c>
      <c r="AT13" s="20">
        <v>4030</v>
      </c>
      <c r="AU13" s="20">
        <v>4041</v>
      </c>
      <c r="AV13" s="20">
        <v>4067</v>
      </c>
      <c r="AW13" s="20">
        <v>4089</v>
      </c>
      <c r="AX13" s="20">
        <v>4050</v>
      </c>
      <c r="AY13" s="20">
        <v>4030</v>
      </c>
      <c r="AZ13" s="20">
        <v>4035</v>
      </c>
      <c r="BA13" s="20">
        <v>4035</v>
      </c>
      <c r="BB13" s="20">
        <v>4032</v>
      </c>
      <c r="BC13" s="20">
        <v>4034</v>
      </c>
      <c r="BD13" s="20">
        <v>4055</v>
      </c>
      <c r="BE13" s="20">
        <v>4096</v>
      </c>
      <c r="BF13" s="20">
        <v>4133</v>
      </c>
      <c r="BG13" s="20">
        <v>4205</v>
      </c>
      <c r="BH13" s="20">
        <v>4208</v>
      </c>
      <c r="BI13" s="20">
        <v>4198</v>
      </c>
      <c r="BJ13" s="20">
        <v>4202</v>
      </c>
      <c r="BK13" s="20">
        <v>4178</v>
      </c>
      <c r="BL13" s="20">
        <v>4117</v>
      </c>
      <c r="BM13" s="20">
        <v>4092</v>
      </c>
      <c r="BN13" s="20">
        <v>4088</v>
      </c>
      <c r="BO13" s="20">
        <v>4097</v>
      </c>
      <c r="BP13" s="20">
        <v>4105</v>
      </c>
      <c r="BQ13" s="20">
        <v>4113</v>
      </c>
      <c r="BR13" s="20">
        <v>4118</v>
      </c>
      <c r="BS13" s="20">
        <v>4133</v>
      </c>
      <c r="BT13" s="20">
        <v>4170</v>
      </c>
      <c r="BU13" s="20">
        <v>4188</v>
      </c>
      <c r="BV13" s="20">
        <v>4153</v>
      </c>
      <c r="BW13" s="20">
        <v>4103</v>
      </c>
      <c r="BX13" s="20">
        <v>4058</v>
      </c>
      <c r="BY13" s="20">
        <v>4065</v>
      </c>
      <c r="BZ13" s="20">
        <v>4059</v>
      </c>
      <c r="CA13" s="20">
        <v>4057</v>
      </c>
      <c r="CB13" s="20">
        <v>4069</v>
      </c>
      <c r="CC13" s="20">
        <v>4091</v>
      </c>
      <c r="CD13" s="20">
        <v>4096</v>
      </c>
      <c r="CE13" s="20">
        <v>4092</v>
      </c>
      <c r="CF13" s="20">
        <v>4084</v>
      </c>
      <c r="CG13" s="20">
        <v>4078</v>
      </c>
      <c r="CH13" s="20">
        <v>4052</v>
      </c>
      <c r="CI13" s="20">
        <v>4013</v>
      </c>
      <c r="CJ13" s="20">
        <v>4000</v>
      </c>
      <c r="CK13" s="20">
        <v>3997</v>
      </c>
      <c r="CL13" s="20">
        <v>3994</v>
      </c>
      <c r="CM13" s="20">
        <v>3997</v>
      </c>
      <c r="CN13" s="20">
        <v>4006</v>
      </c>
      <c r="CO13" s="20">
        <v>4097</v>
      </c>
      <c r="CP13" s="20">
        <v>4124</v>
      </c>
      <c r="CQ13" s="37">
        <v>4116</v>
      </c>
      <c r="CR13" s="37">
        <v>4125</v>
      </c>
      <c r="CS13" s="37">
        <v>4123</v>
      </c>
      <c r="CT13" s="37">
        <v>4119</v>
      </c>
      <c r="CU13" s="37">
        <v>4069</v>
      </c>
      <c r="CV13" s="37">
        <v>4108</v>
      </c>
      <c r="CW13" s="37">
        <v>4125</v>
      </c>
      <c r="CX13" s="37">
        <v>4123</v>
      </c>
      <c r="CY13" s="37">
        <v>4093</v>
      </c>
      <c r="CZ13" s="37">
        <v>4131</v>
      </c>
      <c r="DA13" s="37">
        <v>4143</v>
      </c>
      <c r="DB13" s="37">
        <v>4182</v>
      </c>
      <c r="DC13" s="37">
        <v>4244</v>
      </c>
      <c r="DD13" s="37">
        <v>4175</v>
      </c>
      <c r="DE13" s="37">
        <v>4216</v>
      </c>
      <c r="DF13" s="37">
        <v>4193</v>
      </c>
      <c r="DG13" s="37">
        <v>4164</v>
      </c>
      <c r="DH13" s="37">
        <v>4181</v>
      </c>
      <c r="DI13" s="37">
        <v>4185</v>
      </c>
      <c r="DJ13" s="37">
        <v>4194</v>
      </c>
      <c r="DK13" s="37">
        <v>4189</v>
      </c>
      <c r="DL13" s="37">
        <v>4217</v>
      </c>
      <c r="DM13" s="37">
        <v>4248</v>
      </c>
      <c r="DN13" s="37">
        <v>4266</v>
      </c>
      <c r="DO13" s="37">
        <v>4260</v>
      </c>
      <c r="DP13" s="37">
        <v>4257</v>
      </c>
      <c r="DQ13" s="37">
        <v>4245</v>
      </c>
      <c r="DR13" s="37">
        <v>4216</v>
      </c>
      <c r="DS13" s="37">
        <v>4074</v>
      </c>
      <c r="DT13" s="37">
        <v>4048</v>
      </c>
      <c r="DU13" s="37">
        <v>4052</v>
      </c>
      <c r="DV13" s="37">
        <v>4034</v>
      </c>
      <c r="DW13" s="37">
        <v>4007</v>
      </c>
      <c r="DX13" s="37">
        <v>4060</v>
      </c>
      <c r="DY13" s="37">
        <v>4094</v>
      </c>
      <c r="DZ13" s="37">
        <v>4122</v>
      </c>
      <c r="EA13" s="37">
        <v>4098</v>
      </c>
      <c r="EB13" s="37">
        <v>4096</v>
      </c>
      <c r="EC13" s="37">
        <v>4084</v>
      </c>
      <c r="ED13" s="37">
        <v>4092</v>
      </c>
      <c r="EE13" s="37">
        <v>4030</v>
      </c>
      <c r="EF13" s="37">
        <v>4057</v>
      </c>
      <c r="EG13" s="37">
        <v>4073</v>
      </c>
      <c r="EH13" s="37">
        <v>4013</v>
      </c>
      <c r="EI13" s="37">
        <v>3995</v>
      </c>
      <c r="EJ13" s="37">
        <v>4042</v>
      </c>
      <c r="EK13" s="37">
        <v>4095</v>
      </c>
      <c r="EL13" s="37">
        <v>4090</v>
      </c>
      <c r="EM13" s="37">
        <v>4077</v>
      </c>
      <c r="EN13" s="37">
        <v>4053</v>
      </c>
      <c r="EO13" s="37">
        <v>4055</v>
      </c>
      <c r="EP13" s="37">
        <v>4025</v>
      </c>
      <c r="EQ13" s="37">
        <v>3995</v>
      </c>
      <c r="ER13" s="37">
        <v>3990</v>
      </c>
      <c r="ES13" s="37">
        <v>3980</v>
      </c>
      <c r="ET13" s="37">
        <v>3980</v>
      </c>
      <c r="EU13" s="37">
        <v>3983</v>
      </c>
      <c r="EV13" s="37">
        <v>4055</v>
      </c>
      <c r="EW13" s="37">
        <v>4092</v>
      </c>
      <c r="EX13" s="37">
        <v>4085</v>
      </c>
      <c r="EY13" s="37">
        <v>4094</v>
      </c>
      <c r="EZ13" s="37">
        <v>4092</v>
      </c>
      <c r="FA13" s="37">
        <v>4067</v>
      </c>
      <c r="FB13" s="37">
        <v>4031</v>
      </c>
      <c r="FC13" s="37">
        <v>3994</v>
      </c>
      <c r="FD13" s="62">
        <v>4003</v>
      </c>
      <c r="FE13" s="62">
        <v>3995</v>
      </c>
      <c r="FF13" s="62">
        <v>3981</v>
      </c>
      <c r="FG13" s="62">
        <v>3995</v>
      </c>
      <c r="FH13" s="62">
        <v>4012</v>
      </c>
      <c r="FI13" s="62">
        <v>4043</v>
      </c>
      <c r="FJ13" s="62">
        <v>4047</v>
      </c>
      <c r="FK13" s="62">
        <v>4054</v>
      </c>
      <c r="FL13" s="62">
        <v>4074</v>
      </c>
      <c r="FM13" s="62">
        <v>4087</v>
      </c>
      <c r="FN13" s="62">
        <v>4074</v>
      </c>
      <c r="FO13" s="62">
        <v>4055</v>
      </c>
      <c r="FP13" s="62">
        <v>4064</v>
      </c>
      <c r="FQ13" s="62">
        <v>4059</v>
      </c>
      <c r="FR13" s="62">
        <v>4032</v>
      </c>
      <c r="FS13" s="62">
        <v>4010</v>
      </c>
      <c r="FT13" s="62">
        <v>4066</v>
      </c>
      <c r="FU13" s="62">
        <v>4086</v>
      </c>
      <c r="FV13" s="62">
        <v>4094</v>
      </c>
      <c r="FW13" s="62">
        <v>4113</v>
      </c>
      <c r="FX13" s="62">
        <v>4098</v>
      </c>
      <c r="FY13" s="62">
        <v>4074</v>
      </c>
      <c r="FZ13" s="62">
        <v>4049</v>
      </c>
      <c r="GA13" s="62">
        <v>4044</v>
      </c>
      <c r="GB13" s="62">
        <v>4048</v>
      </c>
      <c r="GC13" s="62">
        <v>4037</v>
      </c>
      <c r="GD13" s="62">
        <v>4010</v>
      </c>
      <c r="GE13" s="62">
        <v>4010</v>
      </c>
      <c r="GF13" s="62">
        <v>4061</v>
      </c>
      <c r="GG13" s="62">
        <v>4082</v>
      </c>
      <c r="GH13" s="62">
        <v>4081</v>
      </c>
      <c r="GI13" s="62">
        <v>4094</v>
      </c>
      <c r="GJ13" s="62">
        <v>4096</v>
      </c>
      <c r="GK13" s="62">
        <v>4086</v>
      </c>
      <c r="GL13" s="62">
        <v>4053</v>
      </c>
      <c r="GM13" s="62">
        <v>4032</v>
      </c>
      <c r="GN13" s="62">
        <v>4039</v>
      </c>
      <c r="GO13" s="62">
        <v>4039</v>
      </c>
      <c r="GP13" s="62">
        <v>4002</v>
      </c>
      <c r="GQ13" s="62">
        <v>4004</v>
      </c>
      <c r="GR13" s="62">
        <v>4039</v>
      </c>
      <c r="GS13" s="62">
        <v>4069</v>
      </c>
      <c r="GT13" s="62">
        <v>4084</v>
      </c>
      <c r="GU13" s="62">
        <v>4094</v>
      </c>
      <c r="GV13" s="62">
        <v>4053</v>
      </c>
      <c r="GW13" s="62">
        <v>4070</v>
      </c>
      <c r="GX13" s="62">
        <v>4047</v>
      </c>
      <c r="GY13" s="62">
        <v>4034</v>
      </c>
      <c r="GZ13" s="62">
        <v>4037</v>
      </c>
      <c r="HA13" s="62">
        <v>4016</v>
      </c>
      <c r="HB13" s="62">
        <v>4009</v>
      </c>
      <c r="HC13" s="62">
        <v>4002</v>
      </c>
      <c r="HD13" s="62">
        <v>4038</v>
      </c>
      <c r="HE13" s="62">
        <v>4077</v>
      </c>
      <c r="HF13" s="62">
        <v>4066</v>
      </c>
      <c r="HG13" s="62">
        <v>4064</v>
      </c>
      <c r="HH13" s="62">
        <v>4079</v>
      </c>
      <c r="HI13" s="62">
        <v>4082</v>
      </c>
      <c r="HJ13" s="62">
        <v>4058</v>
      </c>
      <c r="HK13" s="98">
        <v>4038</v>
      </c>
      <c r="HL13" s="98">
        <v>4027</v>
      </c>
      <c r="HM13" s="98">
        <v>4016</v>
      </c>
      <c r="HN13" s="98">
        <v>4007</v>
      </c>
      <c r="HO13" s="98">
        <v>4019</v>
      </c>
      <c r="HP13" s="98">
        <v>4049</v>
      </c>
      <c r="HQ13" s="98">
        <v>4064</v>
      </c>
      <c r="HR13" s="98">
        <v>4069</v>
      </c>
      <c r="HS13" s="98">
        <v>4086</v>
      </c>
      <c r="HT13" s="98">
        <v>4086</v>
      </c>
      <c r="HU13" s="98">
        <v>4096</v>
      </c>
      <c r="HV13" s="98">
        <v>4064</v>
      </c>
      <c r="HW13" s="98">
        <v>4074</v>
      </c>
      <c r="HX13" s="98">
        <v>4079</v>
      </c>
      <c r="HY13" s="98">
        <v>4088</v>
      </c>
      <c r="HZ13" s="98">
        <v>4086</v>
      </c>
      <c r="IA13" s="98">
        <v>4084</v>
      </c>
      <c r="IB13" s="98">
        <v>4108</v>
      </c>
      <c r="IC13" s="98">
        <v>4124</v>
      </c>
      <c r="ID13" s="98">
        <v>4102</v>
      </c>
      <c r="IE13" s="98">
        <v>4101</v>
      </c>
      <c r="IF13" s="98">
        <v>4107</v>
      </c>
      <c r="IG13" s="98">
        <v>4109</v>
      </c>
      <c r="IH13" s="98">
        <v>4084</v>
      </c>
      <c r="II13" s="98">
        <v>4069</v>
      </c>
      <c r="IJ13" s="98">
        <v>4069</v>
      </c>
      <c r="IK13" s="98">
        <v>4077</v>
      </c>
      <c r="IL13" s="98">
        <v>4083</v>
      </c>
      <c r="IM13" s="98">
        <v>4062</v>
      </c>
      <c r="IN13" s="98">
        <v>4068</v>
      </c>
      <c r="IO13" s="98">
        <v>4107</v>
      </c>
      <c r="IP13" s="98">
        <v>4102</v>
      </c>
      <c r="IQ13" s="98">
        <v>4107</v>
      </c>
      <c r="IR13" s="98">
        <v>4119</v>
      </c>
      <c r="IS13" s="98">
        <v>4119</v>
      </c>
      <c r="IT13" s="98">
        <v>4099</v>
      </c>
      <c r="IU13" s="98">
        <v>4102</v>
      </c>
      <c r="IV13" s="98">
        <v>4109</v>
      </c>
      <c r="IW13" s="98">
        <v>4088</v>
      </c>
      <c r="IX13" s="98">
        <v>4086</v>
      </c>
      <c r="IY13" s="98">
        <v>4068</v>
      </c>
      <c r="IZ13" s="98">
        <v>4068</v>
      </c>
      <c r="JA13" s="98">
        <v>4088</v>
      </c>
      <c r="JB13" s="98">
        <v>4091</v>
      </c>
      <c r="JC13" s="98">
        <v>4097</v>
      </c>
      <c r="JD13" s="98">
        <v>4104</v>
      </c>
      <c r="JE13" s="98">
        <v>4117</v>
      </c>
      <c r="JF13" s="98">
        <v>4135</v>
      </c>
      <c r="JG13" s="98">
        <v>4110</v>
      </c>
      <c r="JH13" s="98">
        <v>4113</v>
      </c>
    </row>
    <row r="14" spans="1:268" ht="23.25" customHeight="1" x14ac:dyDescent="0.2">
      <c r="A14" s="22" t="s">
        <v>37</v>
      </c>
      <c r="B14" s="16" t="s">
        <v>20</v>
      </c>
      <c r="C14" s="76">
        <v>7070</v>
      </c>
      <c r="D14" s="20">
        <v>9425</v>
      </c>
      <c r="E14" s="20">
        <v>9430</v>
      </c>
      <c r="F14" s="20">
        <v>9862</v>
      </c>
      <c r="G14" s="20">
        <v>10350</v>
      </c>
      <c r="H14" s="20">
        <v>11750</v>
      </c>
      <c r="I14" s="20">
        <v>11350</v>
      </c>
      <c r="J14" s="20">
        <v>11360</v>
      </c>
      <c r="K14" s="20">
        <v>9650</v>
      </c>
      <c r="L14" s="20">
        <v>8870</v>
      </c>
      <c r="M14" s="20">
        <v>9630</v>
      </c>
      <c r="N14" s="20">
        <v>10260</v>
      </c>
      <c r="O14" s="20">
        <v>10375</v>
      </c>
      <c r="P14" s="20">
        <v>10350</v>
      </c>
      <c r="Q14" s="20">
        <v>10310</v>
      </c>
      <c r="R14" s="20">
        <v>10175</v>
      </c>
      <c r="S14" s="20">
        <v>9800</v>
      </c>
      <c r="T14" s="20">
        <v>9275</v>
      </c>
      <c r="U14" s="20">
        <v>8820</v>
      </c>
      <c r="V14" s="20">
        <v>8710</v>
      </c>
      <c r="W14" s="20">
        <v>9090</v>
      </c>
      <c r="X14" s="20">
        <v>8855</v>
      </c>
      <c r="Y14" s="20">
        <v>9015</v>
      </c>
      <c r="Z14" s="20">
        <v>9205</v>
      </c>
      <c r="AA14" s="20">
        <v>8980</v>
      </c>
      <c r="AB14" s="20">
        <v>8910</v>
      </c>
      <c r="AC14" s="20">
        <v>8875</v>
      </c>
      <c r="AD14" s="20">
        <v>8890</v>
      </c>
      <c r="AE14" s="20">
        <v>8902</v>
      </c>
      <c r="AF14" s="20">
        <v>8700</v>
      </c>
      <c r="AG14" s="20">
        <v>8320</v>
      </c>
      <c r="AH14" s="20">
        <v>8268</v>
      </c>
      <c r="AI14" s="20">
        <v>8505</v>
      </c>
      <c r="AJ14" s="20">
        <v>8510</v>
      </c>
      <c r="AK14" s="20">
        <v>8410</v>
      </c>
      <c r="AL14" s="20">
        <v>8590</v>
      </c>
      <c r="AM14" s="20">
        <v>8510</v>
      </c>
      <c r="AN14" s="20">
        <v>8475</v>
      </c>
      <c r="AO14" s="20">
        <v>8445</v>
      </c>
      <c r="AP14" s="20">
        <v>8455</v>
      </c>
      <c r="AQ14" s="20">
        <v>8595</v>
      </c>
      <c r="AR14" s="20">
        <v>8690</v>
      </c>
      <c r="AS14" s="20">
        <v>9270</v>
      </c>
      <c r="AT14" s="20">
        <v>9395</v>
      </c>
      <c r="AU14" s="20">
        <v>9110</v>
      </c>
      <c r="AV14" s="20">
        <v>9327</v>
      </c>
      <c r="AW14" s="20">
        <v>9181</v>
      </c>
      <c r="AX14" s="20">
        <v>9110</v>
      </c>
      <c r="AY14" s="20">
        <v>9000</v>
      </c>
      <c r="AZ14" s="20">
        <v>9290</v>
      </c>
      <c r="BA14" s="20">
        <v>9145</v>
      </c>
      <c r="BB14" s="20">
        <v>9260</v>
      </c>
      <c r="BC14" s="20">
        <v>9506</v>
      </c>
      <c r="BD14" s="20">
        <v>9505</v>
      </c>
      <c r="BE14" s="20">
        <v>9482</v>
      </c>
      <c r="BF14" s="20">
        <v>9700</v>
      </c>
      <c r="BG14" s="20">
        <v>9800</v>
      </c>
      <c r="BH14" s="20">
        <v>10300</v>
      </c>
      <c r="BI14" s="20">
        <v>10290</v>
      </c>
      <c r="BJ14" s="20">
        <v>10000</v>
      </c>
      <c r="BK14" s="20">
        <v>10030</v>
      </c>
      <c r="BL14" s="20">
        <v>9825</v>
      </c>
      <c r="BM14" s="20">
        <v>9374</v>
      </c>
      <c r="BN14" s="20">
        <v>9225</v>
      </c>
      <c r="BO14" s="20">
        <v>9090</v>
      </c>
      <c r="BP14" s="20">
        <v>8795</v>
      </c>
      <c r="BQ14" s="20">
        <v>9170</v>
      </c>
      <c r="BR14" s="20">
        <v>9362</v>
      </c>
      <c r="BS14" s="20">
        <v>9085</v>
      </c>
      <c r="BT14" s="20">
        <v>9113</v>
      </c>
      <c r="BU14" s="20">
        <v>9200</v>
      </c>
      <c r="BV14" s="20">
        <v>9095</v>
      </c>
      <c r="BW14" s="20">
        <v>9162</v>
      </c>
      <c r="BX14" s="20">
        <v>9035</v>
      </c>
      <c r="BY14" s="20">
        <v>9100</v>
      </c>
      <c r="BZ14" s="20">
        <v>9180</v>
      </c>
      <c r="CA14" s="20">
        <v>9125</v>
      </c>
      <c r="CB14" s="20">
        <v>9075</v>
      </c>
      <c r="CC14" s="20">
        <v>8835</v>
      </c>
      <c r="CD14" s="20">
        <v>9072</v>
      </c>
      <c r="CE14" s="20">
        <v>9208</v>
      </c>
      <c r="CF14" s="20">
        <v>9418</v>
      </c>
      <c r="CG14" s="20">
        <v>9135</v>
      </c>
      <c r="CH14" s="20">
        <v>9110</v>
      </c>
      <c r="CI14" s="20">
        <v>9375</v>
      </c>
      <c r="CJ14" s="20">
        <v>9390</v>
      </c>
      <c r="CK14" s="20">
        <v>9295</v>
      </c>
      <c r="CL14" s="20">
        <v>9057</v>
      </c>
      <c r="CM14" s="20">
        <v>9230</v>
      </c>
      <c r="CN14" s="20">
        <v>9215</v>
      </c>
      <c r="CO14" s="20">
        <v>9305</v>
      </c>
      <c r="CP14" s="20">
        <v>9210</v>
      </c>
      <c r="CQ14" s="37">
        <v>9118</v>
      </c>
      <c r="CR14" s="37">
        <v>9145</v>
      </c>
      <c r="CS14" s="37">
        <v>9375</v>
      </c>
      <c r="CT14" s="37">
        <v>10700</v>
      </c>
      <c r="CU14" s="37">
        <v>12300</v>
      </c>
      <c r="CV14" s="37">
        <v>11000</v>
      </c>
      <c r="CW14" s="37">
        <v>11330</v>
      </c>
      <c r="CX14" s="37">
        <v>11985</v>
      </c>
      <c r="CY14" s="37">
        <v>11750</v>
      </c>
      <c r="CZ14" s="37">
        <v>10850</v>
      </c>
      <c r="DA14" s="37">
        <v>10345</v>
      </c>
      <c r="DB14" s="37">
        <v>10245</v>
      </c>
      <c r="DC14" s="37">
        <v>9935</v>
      </c>
      <c r="DD14" s="37">
        <v>10035</v>
      </c>
      <c r="DE14" s="37">
        <v>9698</v>
      </c>
      <c r="DF14" s="37">
        <v>9525</v>
      </c>
      <c r="DG14" s="37">
        <v>9420</v>
      </c>
      <c r="DH14" s="37">
        <v>9430</v>
      </c>
      <c r="DI14" s="37">
        <v>9345</v>
      </c>
      <c r="DJ14" s="37">
        <v>9340</v>
      </c>
      <c r="DK14" s="37">
        <v>9085</v>
      </c>
      <c r="DL14" s="37">
        <v>9025</v>
      </c>
      <c r="DM14" s="37">
        <v>9170</v>
      </c>
      <c r="DN14" s="37">
        <v>9110</v>
      </c>
      <c r="DO14" s="37">
        <v>8980</v>
      </c>
      <c r="DP14" s="37">
        <v>9015</v>
      </c>
      <c r="DQ14" s="37">
        <v>8931.5</v>
      </c>
      <c r="DR14" s="37">
        <v>8935</v>
      </c>
      <c r="DS14" s="37">
        <v>9010</v>
      </c>
      <c r="DT14" s="37">
        <v>8990</v>
      </c>
      <c r="DU14" s="37">
        <v>9025</v>
      </c>
      <c r="DV14" s="37">
        <v>8835</v>
      </c>
      <c r="DW14" s="37">
        <v>8715.5</v>
      </c>
      <c r="DX14" s="37">
        <v>8577.5</v>
      </c>
      <c r="DY14" s="37">
        <v>8545</v>
      </c>
      <c r="DZ14" s="37">
        <v>8605</v>
      </c>
      <c r="EA14" s="37">
        <v>8493</v>
      </c>
      <c r="EB14" s="37">
        <v>8548</v>
      </c>
      <c r="EC14" s="37">
        <v>8990</v>
      </c>
      <c r="ED14" s="37">
        <v>8830</v>
      </c>
      <c r="EE14" s="37">
        <v>9150</v>
      </c>
      <c r="EF14" s="37">
        <v>9065</v>
      </c>
      <c r="EG14" s="37">
        <v>8980</v>
      </c>
      <c r="EH14" s="37">
        <v>9126</v>
      </c>
      <c r="EI14" s="37">
        <v>9180</v>
      </c>
      <c r="EJ14" s="37">
        <v>9184</v>
      </c>
      <c r="EK14" s="37">
        <v>9450</v>
      </c>
      <c r="EL14" s="37">
        <v>9493</v>
      </c>
      <c r="EM14" s="37">
        <v>9491</v>
      </c>
      <c r="EN14" s="37">
        <v>9581</v>
      </c>
      <c r="EO14" s="37">
        <v>9598</v>
      </c>
      <c r="EP14" s="37">
        <v>9605</v>
      </c>
      <c r="EQ14" s="37">
        <v>9633</v>
      </c>
      <c r="ER14" s="37">
        <v>9630</v>
      </c>
      <c r="ES14" s="37">
        <v>9680</v>
      </c>
      <c r="ET14" s="37">
        <v>9675</v>
      </c>
      <c r="EU14" s="37">
        <v>9739</v>
      </c>
      <c r="EV14" s="37">
        <v>9717</v>
      </c>
      <c r="EW14" s="37">
        <v>9800</v>
      </c>
      <c r="EX14" s="37">
        <v>9903</v>
      </c>
      <c r="EY14" s="37">
        <v>10265</v>
      </c>
      <c r="EZ14" s="37">
        <v>10920</v>
      </c>
      <c r="FA14" s="37">
        <v>11259</v>
      </c>
      <c r="FB14" s="37">
        <v>11165</v>
      </c>
      <c r="FC14" s="37">
        <v>11990</v>
      </c>
      <c r="FD14" s="62">
        <v>12200</v>
      </c>
      <c r="FE14" s="62">
        <v>12208</v>
      </c>
      <c r="FF14" s="62">
        <v>11660</v>
      </c>
      <c r="FG14" s="62">
        <v>11355</v>
      </c>
      <c r="FH14" s="62">
        <v>11545</v>
      </c>
      <c r="FI14" s="62">
        <v>11625</v>
      </c>
      <c r="FJ14" s="62">
        <v>11990</v>
      </c>
      <c r="FK14" s="62">
        <v>11575</v>
      </c>
      <c r="FL14" s="62">
        <v>11697</v>
      </c>
      <c r="FM14" s="62">
        <v>12164</v>
      </c>
      <c r="FN14" s="62">
        <v>12137</v>
      </c>
      <c r="FO14" s="62">
        <v>12175</v>
      </c>
      <c r="FP14" s="62">
        <v>12425</v>
      </c>
      <c r="FQ14" s="62">
        <v>12577</v>
      </c>
      <c r="FR14" s="62">
        <v>12822</v>
      </c>
      <c r="FS14" s="62">
        <v>13070</v>
      </c>
      <c r="FT14" s="62">
        <v>12930</v>
      </c>
      <c r="FU14" s="62">
        <v>13220</v>
      </c>
      <c r="FV14" s="62">
        <v>13334</v>
      </c>
      <c r="FW14" s="62">
        <v>13449</v>
      </c>
      <c r="FX14" s="62">
        <v>13980</v>
      </c>
      <c r="FY14" s="62">
        <v>14681</v>
      </c>
      <c r="FZ14" s="62">
        <v>13609</v>
      </c>
      <c r="GA14" s="62">
        <v>13793</v>
      </c>
      <c r="GB14" s="62">
        <v>13781</v>
      </c>
      <c r="GC14" s="62">
        <v>13866</v>
      </c>
      <c r="GD14" s="62">
        <v>13362</v>
      </c>
      <c r="GE14" s="62">
        <v>13251</v>
      </c>
      <c r="GF14" s="62">
        <v>13184</v>
      </c>
      <c r="GG14" s="62">
        <v>13630</v>
      </c>
      <c r="GH14" s="62">
        <v>13151</v>
      </c>
      <c r="GI14" s="62">
        <v>13093</v>
      </c>
      <c r="GJ14" s="62">
        <v>13266</v>
      </c>
      <c r="GK14" s="62">
        <v>12953</v>
      </c>
      <c r="GL14" s="62">
        <v>13048</v>
      </c>
      <c r="GM14" s="62">
        <v>13556</v>
      </c>
      <c r="GN14" s="62">
        <v>13460</v>
      </c>
      <c r="GO14" s="62">
        <v>13345</v>
      </c>
      <c r="GP14" s="62">
        <v>13341</v>
      </c>
      <c r="GQ14" s="62">
        <v>13313</v>
      </c>
      <c r="GR14" s="62">
        <v>13313</v>
      </c>
      <c r="GS14" s="62">
        <v>13321</v>
      </c>
      <c r="GT14" s="62">
        <v>13329</v>
      </c>
      <c r="GU14" s="62">
        <v>13322</v>
      </c>
      <c r="GV14" s="62">
        <v>13344</v>
      </c>
      <c r="GW14" s="62">
        <v>13510</v>
      </c>
      <c r="GX14" s="62">
        <v>13579</v>
      </c>
      <c r="GY14" s="62">
        <v>13499</v>
      </c>
      <c r="GZ14" s="62">
        <v>13556</v>
      </c>
      <c r="HA14" s="62">
        <v>13366</v>
      </c>
      <c r="HB14" s="62">
        <v>13675</v>
      </c>
      <c r="HC14" s="62">
        <v>13762</v>
      </c>
      <c r="HD14" s="62">
        <v>13890</v>
      </c>
      <c r="HE14" s="62">
        <v>13990</v>
      </c>
      <c r="HF14" s="62">
        <v>14385</v>
      </c>
      <c r="HG14" s="62">
        <v>14410</v>
      </c>
      <c r="HH14" s="62">
        <v>14675</v>
      </c>
      <c r="HI14" s="62">
        <v>14920</v>
      </c>
      <c r="HJ14" s="62">
        <v>15222</v>
      </c>
      <c r="HK14" s="98">
        <v>14380</v>
      </c>
      <c r="HL14" s="98">
        <v>14490</v>
      </c>
      <c r="HM14" s="98">
        <v>14126</v>
      </c>
      <c r="HN14" s="98">
        <v>14027</v>
      </c>
      <c r="HO14" s="98">
        <v>14239</v>
      </c>
      <c r="HP14" s="98">
        <v>14203</v>
      </c>
      <c r="HQ14" s="98">
        <v>14410</v>
      </c>
      <c r="HR14" s="98">
        <v>14138</v>
      </c>
      <c r="HS14" s="98">
        <v>14020</v>
      </c>
      <c r="HT14" s="98">
        <v>14230</v>
      </c>
      <c r="HU14" s="98">
        <v>14165</v>
      </c>
      <c r="HV14" s="98">
        <v>14026</v>
      </c>
      <c r="HW14" s="98">
        <v>14088</v>
      </c>
      <c r="HX14" s="98">
        <v>13920</v>
      </c>
      <c r="HY14" s="98">
        <v>13649</v>
      </c>
      <c r="HZ14" s="98">
        <v>14020</v>
      </c>
      <c r="IA14" s="98">
        <v>16325</v>
      </c>
      <c r="IB14" s="98">
        <v>15260</v>
      </c>
      <c r="IC14" s="98">
        <v>14675</v>
      </c>
      <c r="ID14" s="98">
        <v>14170</v>
      </c>
      <c r="IE14" s="98">
        <v>14530</v>
      </c>
      <c r="IF14" s="98">
        <v>14632</v>
      </c>
      <c r="IG14" s="98">
        <v>14845</v>
      </c>
      <c r="IH14" s="98">
        <v>14620</v>
      </c>
      <c r="II14" s="98">
        <v>14070</v>
      </c>
      <c r="IJ14" s="98">
        <v>14040</v>
      </c>
      <c r="IK14" s="98">
        <v>14055</v>
      </c>
      <c r="IL14" s="98">
        <v>14080</v>
      </c>
      <c r="IM14" s="98">
        <v>14470</v>
      </c>
      <c r="IN14" s="98">
        <v>14495</v>
      </c>
      <c r="IO14" s="98">
        <v>14280</v>
      </c>
      <c r="IP14" s="98">
        <v>14480</v>
      </c>
      <c r="IQ14" s="98">
        <v>14480</v>
      </c>
      <c r="IR14" s="98">
        <v>14368</v>
      </c>
      <c r="IS14" s="98">
        <v>14290</v>
      </c>
      <c r="IT14" s="98">
        <v>14170</v>
      </c>
      <c r="IU14" s="98">
        <v>14317</v>
      </c>
      <c r="IV14" s="98">
        <v>14265</v>
      </c>
      <c r="IW14" s="98">
        <v>14385</v>
      </c>
      <c r="IX14" s="98">
        <v>14360</v>
      </c>
      <c r="IY14" s="98">
        <v>14341</v>
      </c>
      <c r="IZ14" s="98">
        <v>14488</v>
      </c>
      <c r="JA14" s="98">
        <v>14553</v>
      </c>
      <c r="JB14" s="98">
        <v>14849</v>
      </c>
      <c r="JC14" s="98">
        <v>14914</v>
      </c>
      <c r="JD14" s="98">
        <v>14840</v>
      </c>
      <c r="JE14" s="98">
        <v>15260</v>
      </c>
      <c r="JF14" s="98">
        <v>15548</v>
      </c>
      <c r="JG14" s="98">
        <v>15740</v>
      </c>
      <c r="JH14" s="98">
        <v>15565</v>
      </c>
    </row>
    <row r="15" spans="1:268" ht="23.25" customHeight="1" x14ac:dyDescent="0.2">
      <c r="A15" s="22" t="s">
        <v>38</v>
      </c>
      <c r="B15" s="16" t="s">
        <v>21</v>
      </c>
      <c r="C15" s="77">
        <v>3.8</v>
      </c>
      <c r="D15" s="13">
        <v>3.8</v>
      </c>
      <c r="E15" s="13">
        <v>3.7995000000000001</v>
      </c>
      <c r="F15" s="13">
        <v>3.7999000000000001</v>
      </c>
      <c r="G15" s="13">
        <v>3.7995000000000001</v>
      </c>
      <c r="H15" s="13">
        <v>3.7995000000000001</v>
      </c>
      <c r="I15" s="11">
        <v>3.8</v>
      </c>
      <c r="J15" s="11">
        <v>3.8</v>
      </c>
      <c r="K15" s="11">
        <v>3.8</v>
      </c>
      <c r="L15" s="11">
        <v>3.8</v>
      </c>
      <c r="M15" s="11">
        <v>3.8</v>
      </c>
      <c r="N15" s="13">
        <v>3.7995000000000001</v>
      </c>
      <c r="O15" s="13">
        <v>3.7995000000000001</v>
      </c>
      <c r="P15" s="13">
        <v>3.7995000000000001</v>
      </c>
      <c r="Q15" s="13">
        <v>3.7995000000000001</v>
      </c>
      <c r="R15" s="13">
        <v>3.7995000000000001</v>
      </c>
      <c r="S15" s="13">
        <v>3.7995000000000001</v>
      </c>
      <c r="T15" s="13">
        <v>3.7995000000000001</v>
      </c>
      <c r="U15" s="13">
        <v>3.7995000000000001</v>
      </c>
      <c r="V15" s="13">
        <v>3.7995000000000001</v>
      </c>
      <c r="W15" s="13">
        <v>3.7995000000000001</v>
      </c>
      <c r="X15" s="13">
        <v>3.7995000000000001</v>
      </c>
      <c r="Y15" s="13">
        <v>3.7995000000000001</v>
      </c>
      <c r="Z15" s="13">
        <v>3.7995000000000001</v>
      </c>
      <c r="AA15" s="13">
        <v>3.7995000000000001</v>
      </c>
      <c r="AB15" s="13">
        <v>3.7997999999999998</v>
      </c>
      <c r="AC15" s="13">
        <v>3.7995000000000001</v>
      </c>
      <c r="AD15" s="13">
        <v>3.7995000000000001</v>
      </c>
      <c r="AE15" s="13">
        <v>3.7995000000000001</v>
      </c>
      <c r="AF15" s="13">
        <v>3.7995000000000001</v>
      </c>
      <c r="AG15" s="13">
        <v>3.7995000000000001</v>
      </c>
      <c r="AH15" s="13">
        <v>3.7995000000000001</v>
      </c>
      <c r="AI15" s="13">
        <v>3.7995000000000001</v>
      </c>
      <c r="AJ15" s="13">
        <v>3.7995000000000001</v>
      </c>
      <c r="AK15" s="13">
        <v>3.7995000000000001</v>
      </c>
      <c r="AL15" s="13">
        <v>3.7995000000000001</v>
      </c>
      <c r="AM15" s="13">
        <v>3.7995000000000001</v>
      </c>
      <c r="AN15" s="13">
        <v>3.7995000000000001</v>
      </c>
      <c r="AO15" s="13">
        <v>3.7995000000000001</v>
      </c>
      <c r="AP15" s="13">
        <v>3.7995000000000001</v>
      </c>
      <c r="AQ15" s="13">
        <v>3.7995000000000001</v>
      </c>
      <c r="AR15" s="13">
        <v>3.7995000000000001</v>
      </c>
      <c r="AS15" s="13">
        <v>3.7995000000000001</v>
      </c>
      <c r="AT15" s="13">
        <v>3.7995000000000001</v>
      </c>
      <c r="AU15" s="13">
        <v>3.7997999999999998</v>
      </c>
      <c r="AV15" s="13">
        <v>3.7995000000000001</v>
      </c>
      <c r="AW15" s="13">
        <v>3.7999000000000001</v>
      </c>
      <c r="AX15" s="13">
        <v>3.7995000000000001</v>
      </c>
      <c r="AY15" s="13">
        <v>3.7995000000000001</v>
      </c>
      <c r="AZ15" s="13">
        <v>3.7995000000000001</v>
      </c>
      <c r="BA15" s="13">
        <v>3.7995000000000001</v>
      </c>
      <c r="BB15" s="13">
        <v>3.7995000000000001</v>
      </c>
      <c r="BC15" s="13">
        <v>3.7995000000000001</v>
      </c>
      <c r="BD15" s="13">
        <v>3.7995000000000001</v>
      </c>
      <c r="BE15" s="13">
        <v>3.7997999999999998</v>
      </c>
      <c r="BF15" s="13">
        <v>3.7995000000000001</v>
      </c>
      <c r="BG15" s="13">
        <v>3.75</v>
      </c>
      <c r="BH15" s="13">
        <v>3.7715000000000001</v>
      </c>
      <c r="BI15" s="13">
        <v>3.7669999999999999</v>
      </c>
      <c r="BJ15" s="13">
        <v>3.7723</v>
      </c>
      <c r="BK15" s="13">
        <v>3.7772000000000001</v>
      </c>
      <c r="BL15" s="13">
        <v>3.7793000000000001</v>
      </c>
      <c r="BM15" s="13">
        <v>3.7480000000000002</v>
      </c>
      <c r="BN15" s="13">
        <v>3.7101999999999999</v>
      </c>
      <c r="BO15" s="13">
        <v>3.6890000000000001</v>
      </c>
      <c r="BP15" s="13">
        <v>3.6234999999999999</v>
      </c>
      <c r="BQ15" s="13">
        <v>3.621</v>
      </c>
      <c r="BR15" s="13">
        <v>3.6720000000000002</v>
      </c>
      <c r="BS15" s="13">
        <v>3.6535000000000002</v>
      </c>
      <c r="BT15" s="13">
        <v>3.68</v>
      </c>
      <c r="BU15" s="13">
        <v>3.6819999999999999</v>
      </c>
      <c r="BV15" s="13">
        <v>3.6555</v>
      </c>
      <c r="BW15" s="13">
        <v>3.6280000000000001</v>
      </c>
      <c r="BX15" s="13">
        <v>3.5329999999999999</v>
      </c>
      <c r="BY15" s="13">
        <v>3.5</v>
      </c>
      <c r="BZ15" s="13">
        <v>3.5059999999999998</v>
      </c>
      <c r="CA15" s="13">
        <v>3.4535</v>
      </c>
      <c r="CB15" s="13">
        <v>3.42</v>
      </c>
      <c r="CC15" s="13">
        <v>3.3940000000000001</v>
      </c>
      <c r="CD15" s="13">
        <v>3.452</v>
      </c>
      <c r="CE15" s="13">
        <v>3.4514999999999998</v>
      </c>
      <c r="CF15" s="13">
        <v>3.5</v>
      </c>
      <c r="CG15" s="13">
        <v>3.4119999999999999</v>
      </c>
      <c r="CH15" s="13">
        <v>3.3405</v>
      </c>
      <c r="CI15" s="13">
        <v>3.3635000000000002</v>
      </c>
      <c r="CJ15" s="13">
        <v>3.3109999999999999</v>
      </c>
      <c r="CK15" s="13">
        <v>3.2320000000000002</v>
      </c>
      <c r="CL15" s="13">
        <v>3.19</v>
      </c>
      <c r="CM15" s="13">
        <v>3.19</v>
      </c>
      <c r="CN15" s="13">
        <v>3.1509999999999998</v>
      </c>
      <c r="CO15" s="13">
        <v>3.2480000000000002</v>
      </c>
      <c r="CP15" s="13">
        <v>3.2625000000000002</v>
      </c>
      <c r="CQ15" s="38">
        <v>3.26</v>
      </c>
      <c r="CR15" s="38">
        <v>3.3919999999999999</v>
      </c>
      <c r="CS15" s="38">
        <v>3.4279999999999999</v>
      </c>
      <c r="CT15" s="38">
        <v>3.5470000000000002</v>
      </c>
      <c r="CU15" s="38">
        <v>3.61</v>
      </c>
      <c r="CV15" s="38">
        <v>3.4660000000000002</v>
      </c>
      <c r="CW15" s="38">
        <v>3.6095000000000002</v>
      </c>
      <c r="CX15" s="38">
        <v>3.6850000000000001</v>
      </c>
      <c r="CY15" s="38">
        <v>3.6545000000000001</v>
      </c>
      <c r="CZ15" s="38">
        <v>3.5640000000000001</v>
      </c>
      <c r="DA15" s="38">
        <v>3.504</v>
      </c>
      <c r="DB15" s="38">
        <v>3.5274999999999999</v>
      </c>
      <c r="DC15" s="38">
        <v>3.5194999999999999</v>
      </c>
      <c r="DD15" s="38">
        <v>3.52</v>
      </c>
      <c r="DE15" s="38">
        <v>3.4820000000000002</v>
      </c>
      <c r="DF15" s="38">
        <v>3.4049999999999998</v>
      </c>
      <c r="DG15" s="38">
        <v>3.4</v>
      </c>
      <c r="DH15" s="38">
        <v>3.4209999999999998</v>
      </c>
      <c r="DI15" s="38">
        <v>3.419</v>
      </c>
      <c r="DJ15" s="38">
        <v>3.4045000000000001</v>
      </c>
      <c r="DK15" s="38">
        <v>3.2679999999999998</v>
      </c>
      <c r="DL15" s="38">
        <v>3.2080000000000002</v>
      </c>
      <c r="DM15" s="38">
        <v>3.2589999999999999</v>
      </c>
      <c r="DN15" s="38">
        <v>3.2675000000000001</v>
      </c>
      <c r="DO15" s="38">
        <v>3.1909999999999998</v>
      </c>
      <c r="DP15" s="38">
        <v>3.145</v>
      </c>
      <c r="DQ15" s="38">
        <v>3.0825</v>
      </c>
      <c r="DR15" s="38">
        <v>3.1110000000000002</v>
      </c>
      <c r="DS15" s="38">
        <v>3.16</v>
      </c>
      <c r="DT15" s="38">
        <v>3.073</v>
      </c>
      <c r="DU15" s="38">
        <v>3.0600999999999998</v>
      </c>
      <c r="DV15" s="38">
        <v>3.0535000000000001</v>
      </c>
      <c r="DW15" s="38">
        <v>3.0249999999999999</v>
      </c>
      <c r="DX15" s="38">
        <v>2.9674999999999998</v>
      </c>
      <c r="DY15" s="38">
        <v>3.0089999999999999</v>
      </c>
      <c r="DZ15" s="38">
        <v>3.0190000000000001</v>
      </c>
      <c r="EA15" s="38">
        <v>2.95</v>
      </c>
      <c r="EB15" s="38">
        <v>2.9775</v>
      </c>
      <c r="EC15" s="38">
        <v>3.1835</v>
      </c>
      <c r="ED15" s="38">
        <v>3.07</v>
      </c>
      <c r="EE15" s="38">
        <v>3.1705000000000001</v>
      </c>
      <c r="EF15" s="38">
        <v>3.1705000000000001</v>
      </c>
      <c r="EG15" s="38">
        <v>3.0525000000000002</v>
      </c>
      <c r="EH15" s="38">
        <v>2.9969999999999999</v>
      </c>
      <c r="EI15" s="38">
        <v>3.0705</v>
      </c>
      <c r="EJ15" s="38">
        <v>3.0329999999999999</v>
      </c>
      <c r="EK15" s="38">
        <v>3.1840000000000002</v>
      </c>
      <c r="EL15" s="38">
        <v>3.1964999999999999</v>
      </c>
      <c r="EM15" s="38">
        <v>3.1484999999999999</v>
      </c>
      <c r="EN15" s="38">
        <v>3.13</v>
      </c>
      <c r="EO15" s="38">
        <v>3.0735999999999999</v>
      </c>
      <c r="EP15" s="38">
        <v>3.0508999999999999</v>
      </c>
      <c r="EQ15" s="38">
        <v>3.0447000000000002</v>
      </c>
      <c r="ER15" s="38">
        <v>3.0609999999999999</v>
      </c>
      <c r="ES15" s="38">
        <v>3.0815000000000001</v>
      </c>
      <c r="ET15" s="38">
        <v>3.0920000000000001</v>
      </c>
      <c r="EU15" s="38">
        <v>3.09</v>
      </c>
      <c r="EV15" s="38">
        <v>3.0297999999999998</v>
      </c>
      <c r="EW15" s="38">
        <v>3.0720000000000001</v>
      </c>
      <c r="EX15" s="38">
        <v>3.1739999999999999</v>
      </c>
      <c r="EY15" s="38">
        <v>3.2440000000000002</v>
      </c>
      <c r="EZ15" s="38">
        <v>3.3035000000000001</v>
      </c>
      <c r="FA15" s="38">
        <v>3.2494999999999998</v>
      </c>
      <c r="FB15" s="38">
        <v>3.1576</v>
      </c>
      <c r="FC15" s="38">
        <v>3.2309999999999999</v>
      </c>
      <c r="FD15" s="63">
        <v>3.2892999999999999</v>
      </c>
      <c r="FE15" s="63">
        <v>3.3458000000000001</v>
      </c>
      <c r="FF15" s="63">
        <v>3.2747999999999999</v>
      </c>
      <c r="FG15" s="63">
        <v>3.26</v>
      </c>
      <c r="FH15" s="63">
        <v>3.2605</v>
      </c>
      <c r="FI15" s="63">
        <v>3.2130000000000001</v>
      </c>
      <c r="FJ15" s="63">
        <v>3.2109999999999999</v>
      </c>
      <c r="FK15" s="63">
        <v>3.1865000000000001</v>
      </c>
      <c r="FL15" s="63">
        <v>3.1539999999999999</v>
      </c>
      <c r="FM15" s="63">
        <v>3.2770000000000001</v>
      </c>
      <c r="FN15" s="63">
        <v>3.282</v>
      </c>
      <c r="FO15" s="63">
        <v>3.3490000000000002</v>
      </c>
      <c r="FP15" s="63">
        <v>3.4940000000000002</v>
      </c>
      <c r="FQ15" s="63">
        <v>3.6324999999999998</v>
      </c>
      <c r="FR15" s="63">
        <v>3.5954999999999999</v>
      </c>
      <c r="FS15" s="63">
        <v>3.7124999999999999</v>
      </c>
      <c r="FT15" s="63">
        <v>3.5510000000000002</v>
      </c>
      <c r="FU15" s="63">
        <v>3.6455000000000002</v>
      </c>
      <c r="FV15" s="63">
        <v>3.7705000000000002</v>
      </c>
      <c r="FW15" s="63">
        <v>3.8159999999999998</v>
      </c>
      <c r="FX15" s="63">
        <v>4.1905000000000001</v>
      </c>
      <c r="FY15" s="63">
        <v>4.45</v>
      </c>
      <c r="FZ15" s="63">
        <v>4.3099999999999996</v>
      </c>
      <c r="GA15" s="63">
        <v>4.2510000000000003</v>
      </c>
      <c r="GB15" s="63">
        <v>4.2919999999999998</v>
      </c>
      <c r="GC15" s="63">
        <v>4.1719999999999997</v>
      </c>
      <c r="GD15" s="63">
        <v>4.2214999999999998</v>
      </c>
      <c r="GE15" s="63">
        <v>3.923</v>
      </c>
      <c r="GF15" s="63">
        <v>3.883</v>
      </c>
      <c r="GG15" s="63">
        <v>4.1040000000000001</v>
      </c>
      <c r="GH15" s="63">
        <v>4.0110000000000001</v>
      </c>
      <c r="GI15" s="63">
        <v>4.0484999999999998</v>
      </c>
      <c r="GJ15" s="63">
        <v>4.0564999999999998</v>
      </c>
      <c r="GK15" s="63">
        <v>4.1079999999999997</v>
      </c>
      <c r="GL15" s="63">
        <v>4.2</v>
      </c>
      <c r="GM15" s="63">
        <v>4.4595000000000002</v>
      </c>
      <c r="GN15" s="63">
        <v>4.4824999999999999</v>
      </c>
      <c r="GO15" s="63">
        <v>4.4234999999999998</v>
      </c>
      <c r="GP15" s="63">
        <v>4.4375</v>
      </c>
      <c r="GQ15" s="63">
        <v>4.4210000000000003</v>
      </c>
      <c r="GR15" s="63">
        <v>4.3419999999999996</v>
      </c>
      <c r="GS15" s="63">
        <v>4.2774999999999999</v>
      </c>
      <c r="GT15" s="63">
        <v>4.2919999999999998</v>
      </c>
      <c r="GU15" s="63">
        <v>4.2785000000000002</v>
      </c>
      <c r="GV15" s="63">
        <v>4.2714999999999996</v>
      </c>
      <c r="GW15" s="63">
        <v>4.2300000000000004</v>
      </c>
      <c r="GX15" s="63">
        <v>4.2300000000000004</v>
      </c>
      <c r="GY15" s="63">
        <v>4.0839999999999996</v>
      </c>
      <c r="GZ15" s="63">
        <v>4.0609999999999999</v>
      </c>
      <c r="HA15" s="63">
        <v>3.8860000000000001</v>
      </c>
      <c r="HB15" s="63">
        <v>3.9245000000000001</v>
      </c>
      <c r="HC15" s="63">
        <v>3.8639999999999999</v>
      </c>
      <c r="HD15" s="63">
        <v>3.9184999999999999</v>
      </c>
      <c r="HE15" s="63">
        <v>3.988</v>
      </c>
      <c r="HF15" s="63">
        <v>4.0425000000000004</v>
      </c>
      <c r="HG15" s="63">
        <v>4.0579999999999998</v>
      </c>
      <c r="HH15" s="63">
        <v>4.1079999999999997</v>
      </c>
      <c r="HI15" s="63">
        <v>4.1429999999999998</v>
      </c>
      <c r="HJ15" s="63">
        <v>4.18</v>
      </c>
      <c r="HK15" s="99">
        <v>4.1859999999999999</v>
      </c>
      <c r="HL15" s="99">
        <v>4.1449999999999996</v>
      </c>
      <c r="HM15" s="99">
        <v>4.0869999999999997</v>
      </c>
      <c r="HN15" s="99">
        <v>4.07</v>
      </c>
      <c r="HO15" s="99">
        <v>4.0759999999999996</v>
      </c>
      <c r="HP15" s="99">
        <v>4.13</v>
      </c>
      <c r="HQ15" s="99">
        <v>4.1920000000000002</v>
      </c>
      <c r="HR15" s="99">
        <v>4.1399999999999997</v>
      </c>
      <c r="HS15" s="99">
        <v>4.125</v>
      </c>
      <c r="HT15" s="99">
        <v>4.2169999999999996</v>
      </c>
      <c r="HU15" s="99">
        <v>4.1879999999999997</v>
      </c>
      <c r="HV15" s="99">
        <v>4.1769999999999996</v>
      </c>
      <c r="HW15" s="99">
        <v>4.17</v>
      </c>
      <c r="HX15" s="99">
        <v>4.1005000000000003</v>
      </c>
      <c r="HY15" s="99">
        <v>4.0869999999999997</v>
      </c>
      <c r="HZ15" s="99">
        <v>4.21</v>
      </c>
      <c r="IA15" s="99">
        <v>4.319</v>
      </c>
      <c r="IB15" s="99">
        <v>4.335</v>
      </c>
      <c r="IC15" s="99">
        <v>4.3470000000000004</v>
      </c>
      <c r="ID15" s="99">
        <v>4.282</v>
      </c>
      <c r="IE15" s="99">
        <v>4.2374999999999998</v>
      </c>
      <c r="IF15" s="99">
        <v>4.1639999999999997</v>
      </c>
      <c r="IG15" s="99">
        <v>4.1500000000000004</v>
      </c>
      <c r="IH15" s="99">
        <v>4.165</v>
      </c>
      <c r="II15" s="99">
        <v>4.0670000000000002</v>
      </c>
      <c r="IJ15" s="99">
        <v>4.0279999999999996</v>
      </c>
      <c r="IK15" s="99">
        <v>4.0449999999999999</v>
      </c>
      <c r="IL15" s="99">
        <v>4.0575000000000001</v>
      </c>
      <c r="IM15" s="99">
        <v>4.1500000000000004</v>
      </c>
      <c r="IN15" s="99">
        <v>4.1025</v>
      </c>
      <c r="IO15" s="99">
        <v>4.1429999999999998</v>
      </c>
      <c r="IP15" s="99">
        <v>4.1524999999999999</v>
      </c>
      <c r="IQ15" s="99">
        <v>4.2359999999999998</v>
      </c>
      <c r="IR15" s="99">
        <v>4.1529999999999996</v>
      </c>
      <c r="IS15" s="99">
        <v>4.1879999999999997</v>
      </c>
      <c r="IT15" s="99">
        <v>4.1500000000000004</v>
      </c>
      <c r="IU15" s="99">
        <v>4.234</v>
      </c>
      <c r="IV15" s="99">
        <v>4.1710000000000003</v>
      </c>
      <c r="IW15" s="99">
        <v>4.1849999999999996</v>
      </c>
      <c r="IX15" s="99">
        <v>4.2004999999999999</v>
      </c>
      <c r="IY15" s="99">
        <v>4.1994999999999996</v>
      </c>
      <c r="IZ15" s="99">
        <v>4.3600000000000003</v>
      </c>
      <c r="JA15" s="99">
        <v>4.3639999999999999</v>
      </c>
      <c r="JB15" s="99">
        <v>4.4009999999999998</v>
      </c>
      <c r="JC15" s="99">
        <v>4.4515000000000002</v>
      </c>
      <c r="JD15" s="99">
        <v>4.4744999999999999</v>
      </c>
      <c r="JE15" s="99">
        <v>4.633</v>
      </c>
      <c r="JF15" s="99">
        <v>4.7225000000000001</v>
      </c>
      <c r="JG15" s="99">
        <v>4.5060000000000002</v>
      </c>
      <c r="JH15" s="99">
        <v>4.3849999999999998</v>
      </c>
    </row>
    <row r="16" spans="1:268" ht="23.25" customHeight="1" x14ac:dyDescent="0.2">
      <c r="A16" s="22" t="s">
        <v>6</v>
      </c>
      <c r="B16" s="16" t="s">
        <v>22</v>
      </c>
      <c r="C16" s="77">
        <v>40</v>
      </c>
      <c r="D16" s="11">
        <v>49.82</v>
      </c>
      <c r="E16" s="11">
        <v>49.45</v>
      </c>
      <c r="F16" s="11">
        <v>48.2</v>
      </c>
      <c r="G16" s="11">
        <v>49.28</v>
      </c>
      <c r="H16" s="11">
        <v>50.8</v>
      </c>
      <c r="I16" s="11">
        <v>50.5</v>
      </c>
      <c r="J16" s="11">
        <v>52.2</v>
      </c>
      <c r="K16" s="11">
        <v>53.33</v>
      </c>
      <c r="L16" s="11">
        <v>51.06</v>
      </c>
      <c r="M16" s="11">
        <v>51.25</v>
      </c>
      <c r="N16" s="11">
        <v>52</v>
      </c>
      <c r="O16" s="11">
        <v>51.85</v>
      </c>
      <c r="P16" s="11">
        <v>51.5</v>
      </c>
      <c r="Q16" s="11">
        <v>51.17</v>
      </c>
      <c r="R16" s="11">
        <v>51.3</v>
      </c>
      <c r="S16" s="11">
        <v>50.97</v>
      </c>
      <c r="T16" s="11">
        <v>50.78</v>
      </c>
      <c r="U16" s="11">
        <v>49.8</v>
      </c>
      <c r="V16" s="11">
        <v>50.6</v>
      </c>
      <c r="W16" s="11">
        <v>51</v>
      </c>
      <c r="X16" s="11">
        <v>51.72</v>
      </c>
      <c r="Y16" s="11">
        <v>52.37</v>
      </c>
      <c r="Z16" s="11">
        <v>53</v>
      </c>
      <c r="AA16" s="11">
        <v>53.57</v>
      </c>
      <c r="AB16" s="11">
        <v>53.25</v>
      </c>
      <c r="AC16" s="11">
        <v>53.814999999999998</v>
      </c>
      <c r="AD16" s="11">
        <v>53.814999999999998</v>
      </c>
      <c r="AE16" s="11">
        <v>53.5</v>
      </c>
      <c r="AF16" s="11">
        <v>52.84</v>
      </c>
      <c r="AG16" s="11">
        <v>53.3</v>
      </c>
      <c r="AH16" s="11">
        <v>53.5</v>
      </c>
      <c r="AI16" s="11">
        <v>54.6</v>
      </c>
      <c r="AJ16" s="11">
        <v>54.8</v>
      </c>
      <c r="AK16" s="11">
        <v>54.83</v>
      </c>
      <c r="AL16" s="11">
        <v>55.27</v>
      </c>
      <c r="AM16" s="11">
        <v>55.7</v>
      </c>
      <c r="AN16" s="11">
        <v>55.32</v>
      </c>
      <c r="AO16" s="11">
        <v>55.32</v>
      </c>
      <c r="AP16" s="11">
        <v>56.3</v>
      </c>
      <c r="AQ16" s="11">
        <v>56.25</v>
      </c>
      <c r="AR16" s="11">
        <v>56.04</v>
      </c>
      <c r="AS16" s="11">
        <v>55.83</v>
      </c>
      <c r="AT16" s="11">
        <v>56.19</v>
      </c>
      <c r="AU16" s="11">
        <v>55.88</v>
      </c>
      <c r="AV16" s="11">
        <v>56.11</v>
      </c>
      <c r="AW16" s="11">
        <v>56.26</v>
      </c>
      <c r="AX16" s="11">
        <v>56.39</v>
      </c>
      <c r="AY16" s="11">
        <v>56.11</v>
      </c>
      <c r="AZ16" s="11">
        <v>56.11</v>
      </c>
      <c r="BA16" s="11">
        <v>55.06</v>
      </c>
      <c r="BB16" s="11">
        <v>54.66</v>
      </c>
      <c r="BC16" s="11">
        <v>54.6</v>
      </c>
      <c r="BD16" s="11">
        <v>53.95</v>
      </c>
      <c r="BE16" s="11">
        <v>54.45</v>
      </c>
      <c r="BF16" s="11">
        <v>55.87</v>
      </c>
      <c r="BG16" s="11">
        <v>55.85</v>
      </c>
      <c r="BH16" s="11">
        <v>56.16</v>
      </c>
      <c r="BI16" s="11">
        <v>56</v>
      </c>
      <c r="BJ16" s="11">
        <v>55.02</v>
      </c>
      <c r="BK16" s="11">
        <v>53.93</v>
      </c>
      <c r="BL16" s="11">
        <v>52.97</v>
      </c>
      <c r="BM16" s="11">
        <v>52.3</v>
      </c>
      <c r="BN16" s="11">
        <v>51.9</v>
      </c>
      <c r="BO16" s="11">
        <v>51.24</v>
      </c>
      <c r="BP16" s="11">
        <v>51.71</v>
      </c>
      <c r="BQ16" s="11">
        <v>52.65</v>
      </c>
      <c r="BR16" s="11">
        <v>53.47</v>
      </c>
      <c r="BS16" s="11">
        <v>51.53</v>
      </c>
      <c r="BT16" s="11">
        <v>50.81</v>
      </c>
      <c r="BU16" s="11">
        <v>50.2</v>
      </c>
      <c r="BV16" s="11">
        <v>49.84</v>
      </c>
      <c r="BW16" s="11">
        <v>49.68</v>
      </c>
      <c r="BX16" s="11">
        <v>49.09</v>
      </c>
      <c r="BY16" s="11">
        <v>49.03</v>
      </c>
      <c r="BZ16" s="11">
        <v>48.62</v>
      </c>
      <c r="CA16" s="11">
        <v>48.16</v>
      </c>
      <c r="CB16" s="11">
        <v>47.45</v>
      </c>
      <c r="CC16" s="11">
        <v>46.33</v>
      </c>
      <c r="CD16" s="11">
        <v>46.34</v>
      </c>
      <c r="CE16" s="11">
        <v>45.47</v>
      </c>
      <c r="CF16" s="11">
        <v>46.82</v>
      </c>
      <c r="CG16" s="11">
        <v>15.07</v>
      </c>
      <c r="CH16" s="11">
        <v>43.69</v>
      </c>
      <c r="CI16" s="11">
        <v>42.5</v>
      </c>
      <c r="CJ16" s="11">
        <v>41.2</v>
      </c>
      <c r="CK16" s="11">
        <v>40.71</v>
      </c>
      <c r="CL16" s="11">
        <v>40.25</v>
      </c>
      <c r="CM16" s="11">
        <v>41.77</v>
      </c>
      <c r="CN16" s="11">
        <v>42.15</v>
      </c>
      <c r="CO16" s="11">
        <v>43.75</v>
      </c>
      <c r="CP16" s="11">
        <v>44.77</v>
      </c>
      <c r="CQ16" s="34">
        <v>44.13</v>
      </c>
      <c r="CR16" s="34">
        <v>45.67</v>
      </c>
      <c r="CS16" s="34">
        <v>46.354999999999997</v>
      </c>
      <c r="CT16" s="34">
        <v>49.2</v>
      </c>
      <c r="CU16" s="34">
        <v>48.65</v>
      </c>
      <c r="CV16" s="34">
        <v>47.335000000000001</v>
      </c>
      <c r="CW16" s="34">
        <v>46.725000000000001</v>
      </c>
      <c r="CX16" s="34">
        <v>48.38</v>
      </c>
      <c r="CY16" s="34">
        <v>48.5</v>
      </c>
      <c r="CZ16" s="34">
        <v>48.472000000000001</v>
      </c>
      <c r="DA16" s="34">
        <v>47.5</v>
      </c>
      <c r="DB16" s="34">
        <v>48.23</v>
      </c>
      <c r="DC16" s="34">
        <v>48.07</v>
      </c>
      <c r="DD16" s="34">
        <v>48.79</v>
      </c>
      <c r="DE16" s="34">
        <v>47.58</v>
      </c>
      <c r="DF16" s="34">
        <v>47.47</v>
      </c>
      <c r="DG16" s="34">
        <v>47.19</v>
      </c>
      <c r="DH16" s="34">
        <v>46.19</v>
      </c>
      <c r="DI16" s="34">
        <v>46.58</v>
      </c>
      <c r="DJ16" s="34">
        <v>46.28</v>
      </c>
      <c r="DK16" s="34">
        <v>45.28</v>
      </c>
      <c r="DL16" s="34">
        <v>44.62</v>
      </c>
      <c r="DM16" s="34">
        <v>46.24</v>
      </c>
      <c r="DN16" s="34">
        <v>46.37</v>
      </c>
      <c r="DO16" s="34">
        <v>45.695</v>
      </c>
      <c r="DP16" s="34">
        <v>45.18</v>
      </c>
      <c r="DQ16" s="34">
        <v>43.93</v>
      </c>
      <c r="DR16" s="34">
        <v>43.19</v>
      </c>
      <c r="DS16" s="34">
        <v>44.12</v>
      </c>
      <c r="DT16" s="34">
        <v>43.805</v>
      </c>
      <c r="DU16" s="34">
        <v>44.12</v>
      </c>
      <c r="DV16" s="34">
        <v>43.774999999999999</v>
      </c>
      <c r="DW16" s="34">
        <v>43.414999999999999</v>
      </c>
      <c r="DX16" s="34">
        <v>42.814999999999998</v>
      </c>
      <c r="DY16" s="34">
        <v>43.314999999999998</v>
      </c>
      <c r="DZ16" s="34">
        <v>43.374000000000002</v>
      </c>
      <c r="EA16" s="34">
        <v>42.081000000000003</v>
      </c>
      <c r="EB16" s="34">
        <v>42.32</v>
      </c>
      <c r="EC16" s="34">
        <v>43.61</v>
      </c>
      <c r="ED16" s="34">
        <v>42.8</v>
      </c>
      <c r="EE16" s="34">
        <v>43.61</v>
      </c>
      <c r="EF16" s="34">
        <v>43.83</v>
      </c>
      <c r="EG16" s="34">
        <v>43.07</v>
      </c>
      <c r="EH16" s="34">
        <v>42.856999999999999</v>
      </c>
      <c r="EI16" s="34">
        <v>42.954999999999998</v>
      </c>
      <c r="EJ16" s="34">
        <v>42.267000000000003</v>
      </c>
      <c r="EK16" s="34">
        <v>43.51</v>
      </c>
      <c r="EL16" s="34">
        <v>42.36</v>
      </c>
      <c r="EM16" s="34">
        <v>41.823</v>
      </c>
      <c r="EN16" s="34">
        <v>42.23</v>
      </c>
      <c r="EO16" s="34">
        <v>41.825000000000003</v>
      </c>
      <c r="EP16" s="34">
        <v>41.277999999999999</v>
      </c>
      <c r="EQ16" s="34">
        <v>40.813000000000002</v>
      </c>
      <c r="ER16" s="34">
        <v>41</v>
      </c>
      <c r="ES16" s="34">
        <v>40.6</v>
      </c>
      <c r="ET16" s="34">
        <v>40.715000000000003</v>
      </c>
      <c r="EU16" s="34">
        <v>40.795000000000002</v>
      </c>
      <c r="EV16" s="34">
        <v>41.13</v>
      </c>
      <c r="EW16" s="34">
        <v>42.28</v>
      </c>
      <c r="EX16" s="34">
        <v>43.408000000000001</v>
      </c>
      <c r="EY16" s="34">
        <v>43.38</v>
      </c>
      <c r="EZ16" s="34">
        <v>44.64</v>
      </c>
      <c r="FA16" s="34">
        <v>43.35</v>
      </c>
      <c r="FB16" s="34">
        <v>43.1</v>
      </c>
      <c r="FC16" s="34">
        <v>43.74</v>
      </c>
      <c r="FD16" s="59">
        <v>44.395000000000003</v>
      </c>
      <c r="FE16" s="59">
        <v>45.32</v>
      </c>
      <c r="FF16" s="59">
        <v>44.664999999999999</v>
      </c>
      <c r="FG16" s="59">
        <v>44.884999999999998</v>
      </c>
      <c r="FH16" s="59">
        <v>44.484999999999999</v>
      </c>
      <c r="FI16" s="59">
        <v>43.9</v>
      </c>
      <c r="FJ16" s="59">
        <v>43.75</v>
      </c>
      <c r="FK16" s="59">
        <v>43.4</v>
      </c>
      <c r="FL16" s="59">
        <v>43.692</v>
      </c>
      <c r="FM16" s="59">
        <v>45.061999999999998</v>
      </c>
      <c r="FN16" s="59">
        <v>44.9</v>
      </c>
      <c r="FO16" s="59">
        <v>44.85</v>
      </c>
      <c r="FP16" s="59">
        <v>44.698</v>
      </c>
      <c r="FQ16" s="59">
        <v>43.984999999999999</v>
      </c>
      <c r="FR16" s="59">
        <v>44.024999999999999</v>
      </c>
      <c r="FS16" s="59">
        <v>44.77</v>
      </c>
      <c r="FT16" s="59">
        <v>44.31</v>
      </c>
      <c r="FU16" s="59">
        <v>44.587000000000003</v>
      </c>
      <c r="FV16" s="59">
        <v>45.07</v>
      </c>
      <c r="FW16" s="59">
        <v>45.631</v>
      </c>
      <c r="FX16" s="59">
        <v>46.680999999999997</v>
      </c>
      <c r="FY16" s="59">
        <v>46.884999999999998</v>
      </c>
      <c r="FZ16" s="59">
        <v>46.926000000000002</v>
      </c>
      <c r="GA16" s="59">
        <v>47.076999999999998</v>
      </c>
      <c r="GB16" s="59">
        <v>46.93</v>
      </c>
      <c r="GC16" s="59">
        <v>47.707000000000001</v>
      </c>
      <c r="GD16" s="59">
        <v>47.396999999999998</v>
      </c>
      <c r="GE16" s="59">
        <v>46.005000000000003</v>
      </c>
      <c r="GF16" s="59">
        <v>46.792000000000002</v>
      </c>
      <c r="GG16" s="59">
        <v>46.69</v>
      </c>
      <c r="GH16" s="59">
        <v>46.902000000000001</v>
      </c>
      <c r="GI16" s="59">
        <v>47.058999999999997</v>
      </c>
      <c r="GJ16" s="59">
        <v>46.432000000000002</v>
      </c>
      <c r="GK16" s="59">
        <v>48.164000000000001</v>
      </c>
      <c r="GL16" s="59">
        <v>48.41</v>
      </c>
      <c r="GM16" s="59">
        <v>49.753</v>
      </c>
      <c r="GN16" s="59">
        <v>49.72</v>
      </c>
      <c r="GO16" s="59">
        <v>49.738999999999997</v>
      </c>
      <c r="GP16" s="59">
        <v>50.27</v>
      </c>
      <c r="GQ16" s="59">
        <v>50.154000000000003</v>
      </c>
      <c r="GR16" s="59">
        <v>50.113</v>
      </c>
      <c r="GS16" s="59">
        <v>49.765000000000001</v>
      </c>
      <c r="GT16" s="59">
        <v>50.529000000000003</v>
      </c>
      <c r="GU16" s="59">
        <v>50.527999999999999</v>
      </c>
      <c r="GV16" s="59">
        <v>51.136000000000003</v>
      </c>
      <c r="GW16" s="59">
        <v>50.927999999999997</v>
      </c>
      <c r="GX16" s="59">
        <v>51.625</v>
      </c>
      <c r="GY16" s="59">
        <v>50.216000000000001</v>
      </c>
      <c r="GZ16" s="59">
        <v>49.878999999999998</v>
      </c>
      <c r="HA16" s="59">
        <v>51.207999999999998</v>
      </c>
      <c r="HB16" s="59">
        <v>52</v>
      </c>
      <c r="HC16" s="59">
        <v>52.258000000000003</v>
      </c>
      <c r="HD16" s="59">
        <v>51.884999999999998</v>
      </c>
      <c r="HE16" s="59">
        <v>52.62</v>
      </c>
      <c r="HF16" s="59">
        <v>53.51</v>
      </c>
      <c r="HG16" s="59">
        <v>53.186999999999998</v>
      </c>
      <c r="HH16" s="59">
        <v>53.499000000000002</v>
      </c>
      <c r="HI16" s="59">
        <v>54.125</v>
      </c>
      <c r="HJ16" s="59">
        <v>53.54</v>
      </c>
      <c r="HK16" s="95">
        <v>52.4</v>
      </c>
      <c r="HL16" s="95">
        <v>52.505000000000003</v>
      </c>
      <c r="HM16" s="95">
        <v>52.31</v>
      </c>
      <c r="HN16" s="95">
        <v>51.89</v>
      </c>
      <c r="HO16" s="95">
        <v>52.75</v>
      </c>
      <c r="HP16" s="95">
        <v>52.097999999999999</v>
      </c>
      <c r="HQ16" s="95">
        <v>52.17</v>
      </c>
      <c r="HR16" s="95">
        <v>51.27</v>
      </c>
      <c r="HS16" s="95">
        <v>50.82</v>
      </c>
      <c r="HT16" s="95">
        <v>52.13</v>
      </c>
      <c r="HU16" s="95">
        <v>51.863</v>
      </c>
      <c r="HV16" s="95">
        <v>50.918999999999997</v>
      </c>
      <c r="HW16" s="95">
        <v>50.761000000000003</v>
      </c>
      <c r="HX16" s="95">
        <v>50.62</v>
      </c>
      <c r="HY16" s="95">
        <v>50.976999999999997</v>
      </c>
      <c r="HZ16" s="95">
        <v>50.813000000000002</v>
      </c>
      <c r="IA16" s="95">
        <v>50.9</v>
      </c>
      <c r="IB16" s="95">
        <v>50.48</v>
      </c>
      <c r="IC16" s="95">
        <v>50.69</v>
      </c>
      <c r="ID16" s="95">
        <v>49.853000000000002</v>
      </c>
      <c r="IE16" s="95">
        <v>49.14</v>
      </c>
      <c r="IF16" s="95">
        <v>48.506999999999998</v>
      </c>
      <c r="IG16" s="95">
        <v>48.49</v>
      </c>
      <c r="IH16" s="95">
        <v>48.37</v>
      </c>
      <c r="II16" s="95">
        <v>48.07</v>
      </c>
      <c r="IJ16" s="95">
        <v>48.024000000000001</v>
      </c>
      <c r="IK16" s="95">
        <v>48.106000000000002</v>
      </c>
      <c r="IL16" s="95">
        <v>48.604999999999997</v>
      </c>
      <c r="IM16" s="95">
        <v>48.54</v>
      </c>
      <c r="IN16" s="95">
        <v>48.465000000000003</v>
      </c>
      <c r="IO16" s="95">
        <v>47.795000000000002</v>
      </c>
      <c r="IP16" s="95">
        <v>48.5</v>
      </c>
      <c r="IQ16" s="95">
        <v>50.305</v>
      </c>
      <c r="IR16" s="95">
        <v>49.82</v>
      </c>
      <c r="IS16" s="95">
        <v>50.85</v>
      </c>
      <c r="IT16" s="95">
        <v>50.72</v>
      </c>
      <c r="IU16" s="95">
        <v>50.363999999999997</v>
      </c>
      <c r="IV16" s="95">
        <v>50.978000000000002</v>
      </c>
      <c r="IW16" s="95">
        <v>51.22</v>
      </c>
      <c r="IX16" s="95">
        <v>51.34</v>
      </c>
      <c r="IY16" s="95">
        <v>52.01</v>
      </c>
      <c r="IZ16" s="95">
        <v>52.24</v>
      </c>
      <c r="JA16" s="95">
        <v>52.3</v>
      </c>
      <c r="JB16" s="95">
        <v>55.05</v>
      </c>
      <c r="JC16" s="95">
        <v>55.8</v>
      </c>
      <c r="JD16" s="95">
        <v>56.2</v>
      </c>
      <c r="JE16" s="95">
        <v>58.97</v>
      </c>
      <c r="JF16" s="95">
        <v>57.965000000000003</v>
      </c>
      <c r="JG16" s="95">
        <v>56.56</v>
      </c>
      <c r="JH16" s="95">
        <v>55.695</v>
      </c>
    </row>
    <row r="17" spans="1:268" ht="23.25" customHeight="1" x14ac:dyDescent="0.2">
      <c r="A17" s="29" t="s">
        <v>7</v>
      </c>
      <c r="B17" s="16" t="s">
        <v>23</v>
      </c>
      <c r="C17" s="77">
        <v>1.67</v>
      </c>
      <c r="D17" s="13">
        <v>1.7290000000000001</v>
      </c>
      <c r="E17" s="13">
        <v>1.7442</v>
      </c>
      <c r="F17" s="13">
        <v>1.7404999999999999</v>
      </c>
      <c r="G17" s="13">
        <v>1.7949999999999999</v>
      </c>
      <c r="H17" s="13">
        <v>1.8177000000000001</v>
      </c>
      <c r="I17" s="11">
        <v>1.81</v>
      </c>
      <c r="J17" s="11">
        <v>1.82</v>
      </c>
      <c r="K17" s="11">
        <v>1.8</v>
      </c>
      <c r="L17" s="11">
        <v>1.74</v>
      </c>
      <c r="M17" s="11">
        <v>1.77</v>
      </c>
      <c r="N17" s="13">
        <v>1.8254999999999999</v>
      </c>
      <c r="O17" s="13">
        <v>1.8331999999999999</v>
      </c>
      <c r="P17" s="13">
        <v>1.8508</v>
      </c>
      <c r="Q17" s="13">
        <v>1.8325</v>
      </c>
      <c r="R17" s="13">
        <v>1.8346</v>
      </c>
      <c r="S17" s="13">
        <v>1.8431999999999999</v>
      </c>
      <c r="T17" s="13">
        <v>1.802</v>
      </c>
      <c r="U17" s="13">
        <v>1.7849999999999999</v>
      </c>
      <c r="V17" s="13">
        <v>1.766</v>
      </c>
      <c r="W17" s="13">
        <v>1.7658</v>
      </c>
      <c r="X17" s="13">
        <v>1.7492000000000001</v>
      </c>
      <c r="Y17" s="13">
        <v>1.7777000000000001</v>
      </c>
      <c r="Z17" s="13">
        <v>1.7698</v>
      </c>
      <c r="AA17" s="13">
        <v>1.762</v>
      </c>
      <c r="AB17" s="13">
        <v>1.734</v>
      </c>
      <c r="AC17" s="13">
        <v>1.7383999999999999</v>
      </c>
      <c r="AD17" s="13">
        <v>1.7364999999999999</v>
      </c>
      <c r="AE17" s="13">
        <v>1.7668999999999999</v>
      </c>
      <c r="AF17" s="13">
        <v>1.7747999999999999</v>
      </c>
      <c r="AG17" s="13">
        <v>1.7275</v>
      </c>
      <c r="AH17" s="13">
        <v>1.7565</v>
      </c>
      <c r="AI17" s="13">
        <v>1.7577</v>
      </c>
      <c r="AJ17" s="13">
        <v>1.7544999999999999</v>
      </c>
      <c r="AK17" s="13">
        <v>1.7282</v>
      </c>
      <c r="AL17" s="13">
        <v>1.7443</v>
      </c>
      <c r="AM17" s="13">
        <v>1.726</v>
      </c>
      <c r="AN17" s="13">
        <v>1.726</v>
      </c>
      <c r="AO17" s="13">
        <v>1.726</v>
      </c>
      <c r="AP17" s="13">
        <v>1.7032</v>
      </c>
      <c r="AQ17" s="13">
        <v>1.6797</v>
      </c>
      <c r="AR17" s="13">
        <v>1.7057</v>
      </c>
      <c r="AS17" s="13">
        <v>1.698</v>
      </c>
      <c r="AT17" s="13">
        <v>1.7151000000000001</v>
      </c>
      <c r="AU17" s="13">
        <v>1.7263999999999999</v>
      </c>
      <c r="AV17" s="13">
        <v>1.7136</v>
      </c>
      <c r="AW17" s="13">
        <v>1.6924999999999999</v>
      </c>
      <c r="AX17" s="13">
        <v>1.6657</v>
      </c>
      <c r="AY17" s="13">
        <v>1.639</v>
      </c>
      <c r="AZ17" s="13">
        <v>1.6487000000000001</v>
      </c>
      <c r="BA17" s="13">
        <v>1.6353</v>
      </c>
      <c r="BB17" s="13">
        <v>1.6232</v>
      </c>
      <c r="BC17" s="13">
        <v>1.6477999999999999</v>
      </c>
      <c r="BD17" s="13">
        <v>1.6380999999999999</v>
      </c>
      <c r="BE17" s="13">
        <v>1.6576</v>
      </c>
      <c r="BF17" s="13">
        <v>1.6850000000000001</v>
      </c>
      <c r="BG17" s="13">
        <v>1.6641999999999999</v>
      </c>
      <c r="BH17" s="13">
        <v>1.6847000000000001</v>
      </c>
      <c r="BI17" s="13">
        <v>1.6899</v>
      </c>
      <c r="BJ17" s="13">
        <v>1.6870000000000001</v>
      </c>
      <c r="BK17" s="13">
        <v>1.6946000000000001</v>
      </c>
      <c r="BL17" s="13">
        <v>1.6642999999999999</v>
      </c>
      <c r="BM17" s="13">
        <v>1.6288</v>
      </c>
      <c r="BN17" s="13">
        <v>1.6223000000000001</v>
      </c>
      <c r="BO17" s="13">
        <v>1.6173999999999999</v>
      </c>
      <c r="BP17" s="13">
        <v>1.5827</v>
      </c>
      <c r="BQ17" s="13">
        <v>1.5785</v>
      </c>
      <c r="BR17" s="13">
        <v>1.5911999999999999</v>
      </c>
      <c r="BS17" s="13">
        <v>1.5793999999999999</v>
      </c>
      <c r="BT17" s="13">
        <v>1.5728</v>
      </c>
      <c r="BU17" s="13">
        <v>1.5875999999999999</v>
      </c>
      <c r="BV17" s="13">
        <v>1.5664</v>
      </c>
      <c r="BW17" s="13">
        <v>1.5456000000000001</v>
      </c>
      <c r="BX17" s="13">
        <v>1.5409999999999999</v>
      </c>
      <c r="BY17" s="13">
        <v>1.5409999999999999</v>
      </c>
      <c r="BZ17" s="13">
        <v>1.5293000000000001</v>
      </c>
      <c r="CA17" s="13">
        <v>1.5164</v>
      </c>
      <c r="CB17" s="13">
        <v>1.5187999999999999</v>
      </c>
      <c r="CC17" s="13">
        <v>1.5285</v>
      </c>
      <c r="CD17" s="13">
        <v>1.5326</v>
      </c>
      <c r="CE17" s="13">
        <v>1.5118</v>
      </c>
      <c r="CF17" s="13">
        <v>1.5235000000000001</v>
      </c>
      <c r="CG17" s="13">
        <v>1.4894000000000001</v>
      </c>
      <c r="CH17" s="13">
        <v>1.4528000000000001</v>
      </c>
      <c r="CI17" s="13">
        <v>1.4459</v>
      </c>
      <c r="CJ17" s="13">
        <v>1.4443999999999999</v>
      </c>
      <c r="CK17" s="13">
        <v>1.4189000000000001</v>
      </c>
      <c r="CL17" s="13">
        <v>1.3918999999999999</v>
      </c>
      <c r="CM17" s="13">
        <v>1.3812</v>
      </c>
      <c r="CN17" s="13">
        <v>1.3611</v>
      </c>
      <c r="CO17" s="13">
        <v>1.3662000000000001</v>
      </c>
      <c r="CP17" s="13">
        <v>1.3603000000000001</v>
      </c>
      <c r="CQ17" s="38">
        <v>1.3693</v>
      </c>
      <c r="CR17" s="38">
        <v>1.4177999999999999</v>
      </c>
      <c r="CS17" s="38">
        <v>1.4215</v>
      </c>
      <c r="CT17" s="38">
        <v>1.4829000000000001</v>
      </c>
      <c r="CU17" s="38">
        <v>1.5083</v>
      </c>
      <c r="CV17" s="38">
        <v>1.4379</v>
      </c>
      <c r="CW17" s="38">
        <v>1.5079</v>
      </c>
      <c r="CX17" s="38">
        <v>1.5426</v>
      </c>
      <c r="CY17" s="38">
        <v>1.5218</v>
      </c>
      <c r="CZ17" s="38">
        <v>1.4846999999999999</v>
      </c>
      <c r="DA17" s="38">
        <v>1.4515</v>
      </c>
      <c r="DB17" s="38">
        <v>1.4502999999999999</v>
      </c>
      <c r="DC17" s="38">
        <v>1.4417</v>
      </c>
      <c r="DD17" s="38">
        <v>1.4411</v>
      </c>
      <c r="DE17" s="38">
        <v>1.4166000000000001</v>
      </c>
      <c r="DF17" s="38">
        <v>1.3968</v>
      </c>
      <c r="DG17" s="38">
        <v>1.3839999999999999</v>
      </c>
      <c r="DH17" s="38">
        <v>1.4038999999999999</v>
      </c>
      <c r="DI17" s="38">
        <v>1.4053</v>
      </c>
      <c r="DJ17" s="38">
        <v>1.409</v>
      </c>
      <c r="DK17" s="38">
        <v>1.3989</v>
      </c>
      <c r="DL17" s="38">
        <v>1.3701000000000001</v>
      </c>
      <c r="DM17" s="38">
        <v>1.4</v>
      </c>
      <c r="DN17" s="38">
        <v>1.4037999999999999</v>
      </c>
      <c r="DO17" s="38">
        <v>1.3634999999999999</v>
      </c>
      <c r="DP17" s="38">
        <v>1.3566</v>
      </c>
      <c r="DQ17" s="38">
        <v>1.3166</v>
      </c>
      <c r="DR17" s="38">
        <v>1.3023</v>
      </c>
      <c r="DS17" s="38">
        <v>1.3193999999999999</v>
      </c>
      <c r="DT17" s="38">
        <v>1.2886</v>
      </c>
      <c r="DU17" s="38">
        <v>1.2865</v>
      </c>
      <c r="DV17" s="38">
        <v>1.2751999999999999</v>
      </c>
      <c r="DW17" s="38">
        <v>1.2616000000000001</v>
      </c>
      <c r="DX17" s="38">
        <v>1.2263999999999999</v>
      </c>
      <c r="DY17" s="38">
        <v>1.2318</v>
      </c>
      <c r="DZ17" s="38">
        <v>1.2318</v>
      </c>
      <c r="EA17" s="38">
        <v>1.2025999999999999</v>
      </c>
      <c r="EB17" s="38">
        <v>1.2064999999999999</v>
      </c>
      <c r="EC17" s="38">
        <v>1.2952999999999999</v>
      </c>
      <c r="ED17" s="38">
        <v>1.2430000000000001</v>
      </c>
      <c r="EE17" s="38">
        <v>1.2957000000000001</v>
      </c>
      <c r="EF17" s="38">
        <v>1.2991999999999999</v>
      </c>
      <c r="EG17" s="38">
        <v>1.2581</v>
      </c>
      <c r="EH17" s="38">
        <v>1.2477</v>
      </c>
      <c r="EI17" s="38">
        <v>1.2585999999999999</v>
      </c>
      <c r="EJ17" s="38">
        <v>1.2381</v>
      </c>
      <c r="EK17" s="38">
        <v>1.2894000000000001</v>
      </c>
      <c r="EL17" s="38">
        <v>1.2806999999999999</v>
      </c>
      <c r="EM17" s="38">
        <v>1.2465999999999999</v>
      </c>
      <c r="EN17" s="38">
        <v>1.2533000000000001</v>
      </c>
      <c r="EO17" s="38">
        <v>1.226</v>
      </c>
      <c r="EP17" s="38">
        <v>1.2216</v>
      </c>
      <c r="EQ17" s="38">
        <v>1.2209000000000001</v>
      </c>
      <c r="ER17" s="38">
        <v>1.2229000000000001</v>
      </c>
      <c r="ES17" s="38">
        <v>1.2359</v>
      </c>
      <c r="ET17" s="38">
        <v>1.2362</v>
      </c>
      <c r="EU17" s="38">
        <v>1.2405999999999999</v>
      </c>
      <c r="EV17" s="38">
        <v>1.2338</v>
      </c>
      <c r="EW17" s="38">
        <v>1.2592000000000001</v>
      </c>
      <c r="EX17" s="38">
        <v>1.2665</v>
      </c>
      <c r="EY17" s="38">
        <v>1.2706999999999999</v>
      </c>
      <c r="EZ17" s="38">
        <v>1.2758</v>
      </c>
      <c r="FA17" s="38">
        <v>1.2573000000000001</v>
      </c>
      <c r="FB17" s="38">
        <v>1.2397</v>
      </c>
      <c r="FC17" s="38">
        <v>1.2556</v>
      </c>
      <c r="FD17" s="63">
        <v>1.2670999999999999</v>
      </c>
      <c r="FE17" s="63">
        <v>1.2746</v>
      </c>
      <c r="FF17" s="63">
        <v>1.2641</v>
      </c>
      <c r="FG17" s="63">
        <v>1.2601</v>
      </c>
      <c r="FH17" s="63">
        <v>1.2555000000000001</v>
      </c>
      <c r="FI17" s="63">
        <v>1.2542</v>
      </c>
      <c r="FJ17" s="63">
        <v>1.2497</v>
      </c>
      <c r="FK17" s="63">
        <v>1.2446999999999999</v>
      </c>
      <c r="FL17" s="63">
        <v>1.2485999999999999</v>
      </c>
      <c r="FM17" s="63">
        <v>1.2744</v>
      </c>
      <c r="FN17" s="63">
        <v>1.2775000000000001</v>
      </c>
      <c r="FO17" s="63">
        <v>1.3003</v>
      </c>
      <c r="FP17" s="63">
        <v>1.3217000000000001</v>
      </c>
      <c r="FQ17" s="63">
        <v>1.3525</v>
      </c>
      <c r="FR17" s="63">
        <v>1.3563000000000001</v>
      </c>
      <c r="FS17" s="63">
        <v>1.3759999999999999</v>
      </c>
      <c r="FT17" s="63">
        <v>1.321</v>
      </c>
      <c r="FU17" s="63">
        <v>1.3484</v>
      </c>
      <c r="FV17" s="63">
        <v>1.3461000000000001</v>
      </c>
      <c r="FW17" s="63">
        <v>1.3732</v>
      </c>
      <c r="FX17" s="63">
        <v>1.409</v>
      </c>
      <c r="FY17" s="63">
        <v>1.4275</v>
      </c>
      <c r="FZ17" s="63">
        <v>1.401</v>
      </c>
      <c r="GA17" s="63">
        <v>1.4129</v>
      </c>
      <c r="GB17" s="63">
        <v>1.4145000000000001</v>
      </c>
      <c r="GC17" s="63">
        <v>1.4279999999999999</v>
      </c>
      <c r="GD17" s="63">
        <v>1.4113</v>
      </c>
      <c r="GE17" s="63">
        <v>1.3507</v>
      </c>
      <c r="GF17" s="63">
        <v>1.3441000000000001</v>
      </c>
      <c r="GG17" s="63">
        <v>1.3792</v>
      </c>
      <c r="GH17" s="63">
        <v>1.3466</v>
      </c>
      <c r="GI17" s="63">
        <v>1.3520000000000001</v>
      </c>
      <c r="GJ17" s="63">
        <v>1.3636999999999999</v>
      </c>
      <c r="GK17" s="63">
        <v>1.359</v>
      </c>
      <c r="GL17" s="63">
        <v>1.3926000000000001</v>
      </c>
      <c r="GM17" s="63">
        <v>1.4240999999999999</v>
      </c>
      <c r="GN17" s="63">
        <v>1.446</v>
      </c>
      <c r="GO17" s="63">
        <v>1.42</v>
      </c>
      <c r="GP17" s="63">
        <v>1.4056</v>
      </c>
      <c r="GQ17" s="63">
        <v>1.3976999999999999</v>
      </c>
      <c r="GR17" s="63">
        <v>1.3972</v>
      </c>
      <c r="GS17" s="63">
        <v>1.3859999999999999</v>
      </c>
      <c r="GT17" s="63">
        <v>1.3787</v>
      </c>
      <c r="GU17" s="63">
        <v>1.3575999999999999</v>
      </c>
      <c r="GV17" s="63">
        <v>1.3581000000000001</v>
      </c>
      <c r="GW17" s="63">
        <v>1.3583000000000001</v>
      </c>
      <c r="GX17" s="63">
        <v>1.3606</v>
      </c>
      <c r="GY17" s="63">
        <v>1.3473999999999999</v>
      </c>
      <c r="GZ17" s="63">
        <v>1.3379000000000001</v>
      </c>
      <c r="HA17" s="63">
        <v>1.3103</v>
      </c>
      <c r="HB17" s="63">
        <v>1.3247</v>
      </c>
      <c r="HC17" s="63">
        <v>1.3115000000000001</v>
      </c>
      <c r="HD17" s="63">
        <v>1.3240000000000001</v>
      </c>
      <c r="HE17" s="63">
        <v>1.3392999999999999</v>
      </c>
      <c r="HF17" s="63">
        <v>1.3673</v>
      </c>
      <c r="HG17" s="63">
        <v>1.3604000000000001</v>
      </c>
      <c r="HH17" s="63">
        <v>1.3681000000000001</v>
      </c>
      <c r="HI17" s="63">
        <v>1.3681000000000001</v>
      </c>
      <c r="HJ17" s="63">
        <v>1.3853</v>
      </c>
      <c r="HK17" s="99">
        <v>1.3696999999999999</v>
      </c>
      <c r="HL17" s="99">
        <v>1.3655999999999999</v>
      </c>
      <c r="HM17" s="99">
        <v>1.3465</v>
      </c>
      <c r="HN17" s="99">
        <v>1.3479000000000001</v>
      </c>
      <c r="HO17" s="99">
        <v>1.3559000000000001</v>
      </c>
      <c r="HP17" s="99">
        <v>1.3613999999999999</v>
      </c>
      <c r="HQ17" s="99">
        <v>1.3804000000000001</v>
      </c>
      <c r="HR17" s="99">
        <v>1.3528</v>
      </c>
      <c r="HS17" s="99">
        <v>1.3707</v>
      </c>
      <c r="HT17" s="99">
        <v>1.3876999999999999</v>
      </c>
      <c r="HU17" s="99">
        <v>1.3814</v>
      </c>
      <c r="HV17" s="99">
        <v>1.3613999999999999</v>
      </c>
      <c r="HW17" s="99">
        <v>1.3657999999999999</v>
      </c>
      <c r="HX17" s="99">
        <v>1.3482000000000001</v>
      </c>
      <c r="HY17" s="99">
        <v>1.3624000000000001</v>
      </c>
      <c r="HZ17" s="99">
        <v>1.3947000000000001</v>
      </c>
      <c r="IA17" s="99">
        <v>1.4237</v>
      </c>
      <c r="IB17" s="99">
        <v>1.4113</v>
      </c>
      <c r="IC17" s="99">
        <v>1.4178999999999999</v>
      </c>
      <c r="ID17" s="99">
        <v>1.3932</v>
      </c>
      <c r="IE17" s="99">
        <v>1.371</v>
      </c>
      <c r="IF17" s="99">
        <v>1.3582000000000001</v>
      </c>
      <c r="IG17" s="99">
        <v>1.3682000000000001</v>
      </c>
      <c r="IH17" s="99">
        <v>1.3617999999999999</v>
      </c>
      <c r="II17" s="99">
        <v>1.3373999999999999</v>
      </c>
      <c r="IJ17" s="99">
        <v>1.3224</v>
      </c>
      <c r="IK17" s="99">
        <v>1.3288</v>
      </c>
      <c r="IL17" s="99">
        <v>1.3284</v>
      </c>
      <c r="IM17" s="99">
        <v>1.3471</v>
      </c>
      <c r="IN17" s="99">
        <v>1.3244</v>
      </c>
      <c r="IO17" s="99">
        <v>1.3241000000000001</v>
      </c>
      <c r="IP17" s="99">
        <v>1.3451</v>
      </c>
      <c r="IQ17" s="99">
        <v>1.3527</v>
      </c>
      <c r="IR17" s="99">
        <v>1.3451</v>
      </c>
      <c r="IS17" s="99">
        <v>1.361</v>
      </c>
      <c r="IT17" s="99">
        <v>1.3491</v>
      </c>
      <c r="IU17" s="99">
        <v>1.3685</v>
      </c>
      <c r="IV17" s="99">
        <v>1.3513999999999999</v>
      </c>
      <c r="IW17" s="99">
        <v>1.3557999999999999</v>
      </c>
      <c r="IX17" s="99">
        <v>1.3583000000000001</v>
      </c>
      <c r="IY17" s="99">
        <v>1.3526</v>
      </c>
      <c r="IZ17" s="99">
        <v>1.3855</v>
      </c>
      <c r="JA17" s="99">
        <v>1.3668</v>
      </c>
      <c r="JB17" s="99">
        <v>1.3928</v>
      </c>
      <c r="JC17" s="99">
        <v>1.3794</v>
      </c>
      <c r="JD17" s="99">
        <v>1.3976999999999999</v>
      </c>
      <c r="JE17" s="99">
        <v>1.431</v>
      </c>
      <c r="JF17" s="99">
        <v>1.4108000000000001</v>
      </c>
      <c r="JG17" s="99">
        <v>1.3754</v>
      </c>
      <c r="JH17" s="99">
        <v>1.3424</v>
      </c>
    </row>
    <row r="18" spans="1:268" ht="23.25" customHeight="1" x14ac:dyDescent="0.2">
      <c r="A18" s="29" t="s">
        <v>8</v>
      </c>
      <c r="B18" s="16" t="s">
        <v>24</v>
      </c>
      <c r="C18" s="77">
        <v>37.450000000000003</v>
      </c>
      <c r="D18" s="11">
        <v>42.63</v>
      </c>
      <c r="E18" s="11">
        <v>42.61</v>
      </c>
      <c r="F18" s="11">
        <v>42.85</v>
      </c>
      <c r="G18" s="11">
        <v>44.73</v>
      </c>
      <c r="H18" s="11">
        <v>45.61</v>
      </c>
      <c r="I18" s="11">
        <v>45.4</v>
      </c>
      <c r="J18" s="11">
        <v>45.14</v>
      </c>
      <c r="K18" s="11">
        <v>45.47</v>
      </c>
      <c r="L18" s="11">
        <v>44.16</v>
      </c>
      <c r="M18" s="11">
        <v>44.37</v>
      </c>
      <c r="N18" s="11">
        <v>44.84</v>
      </c>
      <c r="O18" s="11">
        <v>44.05</v>
      </c>
      <c r="P18" s="11">
        <v>44.17</v>
      </c>
      <c r="Q18" s="11">
        <v>43.945</v>
      </c>
      <c r="R18" s="11">
        <v>43.69</v>
      </c>
      <c r="S18" s="11">
        <v>43.52</v>
      </c>
      <c r="T18" s="11">
        <v>43.19</v>
      </c>
      <c r="U18" s="11">
        <v>42.39</v>
      </c>
      <c r="V18" s="11">
        <v>41.58</v>
      </c>
      <c r="W18" s="11">
        <v>42.104999999999997</v>
      </c>
      <c r="X18" s="11">
        <v>42.19</v>
      </c>
      <c r="Y18" s="11">
        <v>43.4</v>
      </c>
      <c r="Z18" s="11">
        <v>43.36</v>
      </c>
      <c r="AA18" s="11">
        <v>43.38</v>
      </c>
      <c r="AB18" s="11">
        <v>43.22</v>
      </c>
      <c r="AC18" s="11">
        <v>42.6</v>
      </c>
      <c r="AD18" s="11">
        <v>42.85</v>
      </c>
      <c r="AE18" s="11">
        <v>42.75</v>
      </c>
      <c r="AF18" s="11">
        <v>42.67</v>
      </c>
      <c r="AG18" s="11">
        <v>41.8</v>
      </c>
      <c r="AH18" s="11">
        <v>41.5</v>
      </c>
      <c r="AI18" s="11">
        <v>41.8</v>
      </c>
      <c r="AJ18" s="11">
        <v>41.23</v>
      </c>
      <c r="AK18" s="11">
        <v>40.14</v>
      </c>
      <c r="AL18" s="11">
        <v>39.799999999999997</v>
      </c>
      <c r="AM18" s="11">
        <v>39.869999999999997</v>
      </c>
      <c r="AN18" s="11">
        <v>39.53</v>
      </c>
      <c r="AO18" s="11">
        <v>39.17</v>
      </c>
      <c r="AP18" s="11">
        <v>39.15</v>
      </c>
      <c r="AQ18" s="11">
        <v>39.43</v>
      </c>
      <c r="AR18" s="11">
        <v>39.4</v>
      </c>
      <c r="AS18" s="11">
        <v>40.479999999999997</v>
      </c>
      <c r="AT18" s="11">
        <v>40.729999999999997</v>
      </c>
      <c r="AU18" s="11">
        <v>41.45</v>
      </c>
      <c r="AV18" s="11">
        <v>41.66</v>
      </c>
      <c r="AW18" s="11">
        <v>41.52</v>
      </c>
      <c r="AX18" s="11">
        <v>41.06</v>
      </c>
      <c r="AY18" s="11">
        <v>39.46</v>
      </c>
      <c r="AZ18" s="11">
        <v>39.15</v>
      </c>
      <c r="BA18" s="11">
        <v>38.435000000000002</v>
      </c>
      <c r="BB18" s="11">
        <v>38.28</v>
      </c>
      <c r="BC18" s="11">
        <v>39.244999999999997</v>
      </c>
      <c r="BD18" s="11">
        <v>39.515000000000001</v>
      </c>
      <c r="BE18" s="11">
        <v>40.31</v>
      </c>
      <c r="BF18" s="11">
        <v>41.31</v>
      </c>
      <c r="BG18" s="11">
        <v>41.744999999999997</v>
      </c>
      <c r="BH18" s="11">
        <v>41.32</v>
      </c>
      <c r="BI18" s="11">
        <v>41.064999999999998</v>
      </c>
      <c r="BJ18" s="11">
        <v>40.744999999999997</v>
      </c>
      <c r="BK18" s="11">
        <v>41.215000000000003</v>
      </c>
      <c r="BL18" s="11">
        <v>40.98</v>
      </c>
      <c r="BM18" s="11">
        <v>39.115000000000002</v>
      </c>
      <c r="BN18" s="11">
        <v>39.22</v>
      </c>
      <c r="BO18" s="11">
        <v>38.81</v>
      </c>
      <c r="BP18" s="11">
        <v>37.479999999999997</v>
      </c>
      <c r="BQ18" s="11">
        <v>38.24</v>
      </c>
      <c r="BR18" s="11">
        <v>38.33</v>
      </c>
      <c r="BS18" s="11">
        <v>37.85</v>
      </c>
      <c r="BT18" s="11">
        <v>37.585000000000001</v>
      </c>
      <c r="BU18" s="11">
        <v>37.520000000000003</v>
      </c>
      <c r="BV18" s="11">
        <v>36.909999999999997</v>
      </c>
      <c r="BW18" s="11">
        <v>36.04</v>
      </c>
      <c r="BX18" s="11">
        <v>36.1</v>
      </c>
      <c r="BY18" s="11">
        <v>34.65</v>
      </c>
      <c r="BZ18" s="11">
        <v>33.75</v>
      </c>
      <c r="CA18" s="11">
        <v>32.299999999999997</v>
      </c>
      <c r="CB18" s="11">
        <v>32.6</v>
      </c>
      <c r="CC18" s="11">
        <v>32.68</v>
      </c>
      <c r="CD18" s="11">
        <v>31.65</v>
      </c>
      <c r="CE18" s="11">
        <v>29.5</v>
      </c>
      <c r="CF18" s="11">
        <v>32.53</v>
      </c>
      <c r="CG18" s="11">
        <v>31.51</v>
      </c>
      <c r="CH18" s="11">
        <v>31.38</v>
      </c>
      <c r="CI18" s="11">
        <v>30.55</v>
      </c>
      <c r="CJ18" s="11">
        <v>29.85</v>
      </c>
      <c r="CK18" s="11">
        <v>31.4</v>
      </c>
      <c r="CL18" s="11">
        <v>29.37</v>
      </c>
      <c r="CM18" s="11">
        <v>31.42</v>
      </c>
      <c r="CN18" s="11">
        <v>31.67</v>
      </c>
      <c r="CO18" s="11">
        <v>32.46</v>
      </c>
      <c r="CP18" s="11">
        <v>33.51</v>
      </c>
      <c r="CQ18" s="34">
        <v>33.465000000000003</v>
      </c>
      <c r="CR18" s="34">
        <v>34.159999999999997</v>
      </c>
      <c r="CS18" s="34">
        <v>33.94</v>
      </c>
      <c r="CT18" s="34">
        <v>34.79</v>
      </c>
      <c r="CU18" s="34">
        <v>35.31</v>
      </c>
      <c r="CV18" s="34">
        <v>34.71</v>
      </c>
      <c r="CW18" s="34">
        <v>34.93</v>
      </c>
      <c r="CX18" s="34">
        <v>36.049999999999997</v>
      </c>
      <c r="CY18" s="34">
        <v>35.57</v>
      </c>
      <c r="CZ18" s="34">
        <v>35.32</v>
      </c>
      <c r="DA18" s="34">
        <v>34.36</v>
      </c>
      <c r="DB18" s="34">
        <v>34.020000000000003</v>
      </c>
      <c r="DC18" s="34">
        <v>34.04</v>
      </c>
      <c r="DD18" s="34">
        <v>34</v>
      </c>
      <c r="DE18" s="34">
        <v>33.6</v>
      </c>
      <c r="DF18" s="34">
        <v>33.43</v>
      </c>
      <c r="DG18" s="34">
        <v>33.200000000000003</v>
      </c>
      <c r="DH18" s="34">
        <v>33.29</v>
      </c>
      <c r="DI18" s="34">
        <v>33.119999999999997</v>
      </c>
      <c r="DJ18" s="34">
        <v>33.06</v>
      </c>
      <c r="DK18" s="34">
        <v>32.340000000000003</v>
      </c>
      <c r="DL18" s="34">
        <v>32.32</v>
      </c>
      <c r="DM18" s="34">
        <v>32.51</v>
      </c>
      <c r="DN18" s="34">
        <v>32.43</v>
      </c>
      <c r="DO18" s="34">
        <v>32.229999999999997</v>
      </c>
      <c r="DP18" s="34">
        <v>31.29</v>
      </c>
      <c r="DQ18" s="34">
        <v>30.4</v>
      </c>
      <c r="DR18" s="34">
        <v>29.96</v>
      </c>
      <c r="DS18" s="34">
        <v>30.19</v>
      </c>
      <c r="DT18" s="34">
        <v>30.11</v>
      </c>
      <c r="DU18" s="34">
        <v>31.12</v>
      </c>
      <c r="DV18" s="34">
        <v>30.62</v>
      </c>
      <c r="DW18" s="34">
        <v>30.32</v>
      </c>
      <c r="DX18" s="34">
        <v>29.89</v>
      </c>
      <c r="DY18" s="34">
        <v>30.31</v>
      </c>
      <c r="DZ18" s="34">
        <v>30.74</v>
      </c>
      <c r="EA18" s="34">
        <v>29.7</v>
      </c>
      <c r="EB18" s="34">
        <v>30</v>
      </c>
      <c r="EC18" s="34">
        <v>31.17</v>
      </c>
      <c r="ED18" s="34">
        <v>30.47</v>
      </c>
      <c r="EE18" s="34">
        <v>31.25</v>
      </c>
      <c r="EF18" s="34">
        <v>31.74</v>
      </c>
      <c r="EG18" s="34">
        <v>31.13</v>
      </c>
      <c r="EH18" s="34">
        <v>30.33</v>
      </c>
      <c r="EI18" s="34">
        <v>30.87</v>
      </c>
      <c r="EJ18" s="34">
        <v>30.73</v>
      </c>
      <c r="EK18" s="34">
        <v>31.87</v>
      </c>
      <c r="EL18" s="34">
        <v>31.88</v>
      </c>
      <c r="EM18" s="34">
        <v>31.58</v>
      </c>
      <c r="EN18" s="34">
        <v>31.37</v>
      </c>
      <c r="EO18" s="34">
        <v>30.86</v>
      </c>
      <c r="EP18" s="34">
        <v>30.71</v>
      </c>
      <c r="EQ18" s="34">
        <v>30.68</v>
      </c>
      <c r="ER18" s="34">
        <v>30.56</v>
      </c>
      <c r="ES18" s="34">
        <v>29.72</v>
      </c>
      <c r="ET18" s="34">
        <v>29.83</v>
      </c>
      <c r="EU18" s="34">
        <v>29.32</v>
      </c>
      <c r="EV18" s="34">
        <v>29.26</v>
      </c>
      <c r="EW18" s="34">
        <v>30.1</v>
      </c>
      <c r="EX18" s="34">
        <v>31.11</v>
      </c>
      <c r="EY18" s="34">
        <v>31.26</v>
      </c>
      <c r="EZ18" s="34">
        <v>32.130000000000003</v>
      </c>
      <c r="FA18" s="34">
        <v>31.4</v>
      </c>
      <c r="FB18" s="34">
        <v>31.08</v>
      </c>
      <c r="FC18" s="34">
        <v>32.11</v>
      </c>
      <c r="FD18" s="59">
        <v>32.85</v>
      </c>
      <c r="FE18" s="59">
        <v>33.01</v>
      </c>
      <c r="FF18" s="59">
        <v>32.57</v>
      </c>
      <c r="FG18" s="59">
        <v>32.5</v>
      </c>
      <c r="FH18" s="59">
        <v>32.25</v>
      </c>
      <c r="FI18" s="59">
        <v>32.79</v>
      </c>
      <c r="FJ18" s="59">
        <v>32.46</v>
      </c>
      <c r="FK18" s="59">
        <v>31.94</v>
      </c>
      <c r="FL18" s="59">
        <v>31.93</v>
      </c>
      <c r="FM18" s="59">
        <v>32.369999999999997</v>
      </c>
      <c r="FN18" s="59">
        <v>32.53</v>
      </c>
      <c r="FO18" s="59">
        <v>32.78</v>
      </c>
      <c r="FP18" s="59">
        <v>32.880000000000003</v>
      </c>
      <c r="FQ18" s="59">
        <v>32.76</v>
      </c>
      <c r="FR18" s="59">
        <v>32.369999999999997</v>
      </c>
      <c r="FS18" s="59">
        <v>32.54</v>
      </c>
      <c r="FT18" s="59">
        <v>32.82</v>
      </c>
      <c r="FU18" s="59">
        <v>33.76</v>
      </c>
      <c r="FV18" s="59">
        <v>33.76</v>
      </c>
      <c r="FW18" s="59">
        <v>35.08</v>
      </c>
      <c r="FX18" s="59">
        <v>35.81</v>
      </c>
      <c r="FY18" s="59">
        <v>36.409999999999997</v>
      </c>
      <c r="FZ18" s="59">
        <v>35.590000000000003</v>
      </c>
      <c r="GA18" s="59">
        <v>35.89</v>
      </c>
      <c r="GB18" s="59">
        <v>36.049999999999997</v>
      </c>
      <c r="GC18" s="59">
        <v>35.83</v>
      </c>
      <c r="GD18" s="59">
        <v>35.729999999999997</v>
      </c>
      <c r="GE18" s="59">
        <v>35.229999999999997</v>
      </c>
      <c r="GF18" s="59">
        <v>34.99</v>
      </c>
      <c r="GG18" s="59">
        <v>35.72</v>
      </c>
      <c r="GH18" s="59">
        <v>35.14</v>
      </c>
      <c r="GI18" s="59">
        <v>34.85</v>
      </c>
      <c r="GJ18" s="59">
        <v>34.6</v>
      </c>
      <c r="GK18" s="59">
        <v>34.58</v>
      </c>
      <c r="GL18" s="59">
        <v>35.04</v>
      </c>
      <c r="GM18" s="59">
        <v>35.64</v>
      </c>
      <c r="GN18" s="59">
        <v>35.89</v>
      </c>
      <c r="GO18" s="59">
        <v>35.200000000000003</v>
      </c>
      <c r="GP18" s="59">
        <v>34.85</v>
      </c>
      <c r="GQ18" s="59">
        <v>34.49</v>
      </c>
      <c r="GR18" s="59">
        <v>34.590000000000003</v>
      </c>
      <c r="GS18" s="59">
        <v>34.119999999999997</v>
      </c>
      <c r="GT18" s="59">
        <v>33.99</v>
      </c>
      <c r="GU18" s="59">
        <v>33.340000000000003</v>
      </c>
      <c r="GV18" s="59">
        <v>33.21</v>
      </c>
      <c r="GW18" s="59">
        <v>33.380000000000003</v>
      </c>
      <c r="GX18" s="59">
        <v>33.21</v>
      </c>
      <c r="GY18" s="59">
        <v>32.57</v>
      </c>
      <c r="GZ18" s="59">
        <v>32.68</v>
      </c>
      <c r="HA18" s="59">
        <v>31.41</v>
      </c>
      <c r="HB18" s="59">
        <v>31.45</v>
      </c>
      <c r="HC18" s="59">
        <v>31.24</v>
      </c>
      <c r="HD18" s="59">
        <v>31.5</v>
      </c>
      <c r="HE18" s="59">
        <v>32.03</v>
      </c>
      <c r="HF18" s="59">
        <v>33.119999999999997</v>
      </c>
      <c r="HG18" s="59">
        <v>33.26</v>
      </c>
      <c r="HH18" s="59">
        <v>32.78</v>
      </c>
      <c r="HI18" s="59">
        <v>32.43</v>
      </c>
      <c r="HJ18" s="59">
        <v>33.29</v>
      </c>
      <c r="HK18" s="95">
        <v>32.950000000000003</v>
      </c>
      <c r="HL18" s="95">
        <v>32.51</v>
      </c>
      <c r="HM18" s="95">
        <v>31.31</v>
      </c>
      <c r="HN18" s="95">
        <v>31.42</v>
      </c>
      <c r="HO18" s="95">
        <v>31.81</v>
      </c>
      <c r="HP18" s="95">
        <v>31.93</v>
      </c>
      <c r="HQ18" s="95">
        <v>31.8</v>
      </c>
      <c r="HR18" s="95">
        <v>30.76</v>
      </c>
      <c r="HS18" s="95">
        <v>30.81</v>
      </c>
      <c r="HT18" s="95">
        <v>30.605</v>
      </c>
      <c r="HU18" s="95">
        <v>30.617000000000001</v>
      </c>
      <c r="HV18" s="95">
        <v>30.19</v>
      </c>
      <c r="HW18" s="95">
        <v>30.23</v>
      </c>
      <c r="HX18" s="95">
        <v>29.96</v>
      </c>
      <c r="HY18" s="95">
        <v>31.16</v>
      </c>
      <c r="HZ18" s="95">
        <v>31.65</v>
      </c>
      <c r="IA18" s="95">
        <v>32.659999999999997</v>
      </c>
      <c r="IB18" s="95">
        <v>32.409999999999997</v>
      </c>
      <c r="IC18" s="95">
        <v>31.86</v>
      </c>
      <c r="ID18" s="95">
        <v>30.86</v>
      </c>
      <c r="IE18" s="95">
        <v>31.31</v>
      </c>
      <c r="IF18" s="95">
        <v>31.16</v>
      </c>
      <c r="IG18" s="95">
        <v>31.62</v>
      </c>
      <c r="IH18" s="95">
        <v>31.24</v>
      </c>
      <c r="II18" s="95">
        <v>30.28</v>
      </c>
      <c r="IJ18" s="95">
        <v>29.95</v>
      </c>
      <c r="IK18" s="95">
        <v>29.97</v>
      </c>
      <c r="IL18" s="95">
        <v>30.13</v>
      </c>
      <c r="IM18" s="95">
        <v>31.3</v>
      </c>
      <c r="IN18" s="95">
        <v>31.34</v>
      </c>
      <c r="IO18" s="95">
        <v>31.27</v>
      </c>
      <c r="IP18" s="95">
        <v>32.1</v>
      </c>
      <c r="IQ18" s="95">
        <v>32.85</v>
      </c>
      <c r="IR18" s="95">
        <v>32.49</v>
      </c>
      <c r="IS18" s="95">
        <v>33.94</v>
      </c>
      <c r="IT18" s="95">
        <v>33.24</v>
      </c>
      <c r="IU18" s="95">
        <v>33.64</v>
      </c>
      <c r="IV18" s="95">
        <v>33.32</v>
      </c>
      <c r="IW18" s="95">
        <v>33.42</v>
      </c>
      <c r="IX18" s="95">
        <v>32.71</v>
      </c>
      <c r="IY18" s="95">
        <v>33.28</v>
      </c>
      <c r="IZ18" s="95">
        <v>34.4</v>
      </c>
      <c r="JA18" s="95">
        <v>34.08</v>
      </c>
      <c r="JB18" s="95">
        <v>35.11</v>
      </c>
      <c r="JC18" s="95">
        <v>36.42</v>
      </c>
      <c r="JD18" s="95">
        <v>36.450000000000003</v>
      </c>
      <c r="JE18" s="95">
        <v>38.06</v>
      </c>
      <c r="JF18" s="95">
        <v>37.880000000000003</v>
      </c>
      <c r="JG18" s="95">
        <v>35.4</v>
      </c>
      <c r="JH18" s="95">
        <v>34.520000000000003</v>
      </c>
    </row>
    <row r="19" spans="1:268" ht="23.25" customHeight="1" x14ac:dyDescent="0.2">
      <c r="A19" s="29" t="s">
        <v>9</v>
      </c>
      <c r="B19" s="16" t="s">
        <v>25</v>
      </c>
      <c r="C19" s="76">
        <v>14025</v>
      </c>
      <c r="D19" s="20">
        <v>14511</v>
      </c>
      <c r="E19" s="20">
        <v>14543</v>
      </c>
      <c r="F19" s="20">
        <v>14565</v>
      </c>
      <c r="G19" s="20">
        <v>14542</v>
      </c>
      <c r="H19" s="20">
        <v>14564</v>
      </c>
      <c r="I19" s="20">
        <v>14645</v>
      </c>
      <c r="J19" s="20">
        <v>14826</v>
      </c>
      <c r="K19" s="20">
        <v>14938</v>
      </c>
      <c r="L19" s="20">
        <v>14991</v>
      </c>
      <c r="M19" s="20">
        <v>14996</v>
      </c>
      <c r="N19" s="20">
        <v>15027</v>
      </c>
      <c r="O19" s="20">
        <v>15061</v>
      </c>
      <c r="P19" s="20">
        <v>15079</v>
      </c>
      <c r="Q19" s="20">
        <v>15123</v>
      </c>
      <c r="R19" s="20">
        <v>15135</v>
      </c>
      <c r="S19" s="20">
        <v>15189</v>
      </c>
      <c r="T19" s="20">
        <v>15218</v>
      </c>
      <c r="U19" s="20">
        <v>15247</v>
      </c>
      <c r="V19" s="20">
        <v>15270</v>
      </c>
      <c r="W19" s="20">
        <v>15313</v>
      </c>
      <c r="X19" s="20">
        <v>15326</v>
      </c>
      <c r="Y19" s="20">
        <v>15338</v>
      </c>
      <c r="Z19" s="20">
        <v>15358</v>
      </c>
      <c r="AA19" s="20">
        <v>15383</v>
      </c>
      <c r="AB19" s="20">
        <v>15391</v>
      </c>
      <c r="AC19" s="20">
        <v>15426</v>
      </c>
      <c r="AD19" s="20">
        <v>15426</v>
      </c>
      <c r="AE19" s="20">
        <v>15445</v>
      </c>
      <c r="AF19" s="20">
        <v>15465</v>
      </c>
      <c r="AG19" s="20">
        <v>15465</v>
      </c>
      <c r="AH19" s="20">
        <v>15490</v>
      </c>
      <c r="AI19" s="20">
        <v>15506</v>
      </c>
      <c r="AJ19" s="20">
        <v>15519</v>
      </c>
      <c r="AK19" s="20">
        <v>15541</v>
      </c>
      <c r="AL19" s="20">
        <v>15601</v>
      </c>
      <c r="AM19" s="20">
        <v>15629</v>
      </c>
      <c r="AN19" s="20">
        <v>15658</v>
      </c>
      <c r="AO19" s="20">
        <v>15658</v>
      </c>
      <c r="AP19" s="20">
        <v>15733</v>
      </c>
      <c r="AQ19" s="20">
        <v>15725</v>
      </c>
      <c r="AR19" s="20">
        <v>15713</v>
      </c>
      <c r="AS19" s="20">
        <v>15739</v>
      </c>
      <c r="AT19" s="20">
        <v>15728</v>
      </c>
      <c r="AU19" s="20">
        <v>15727</v>
      </c>
      <c r="AV19" s="20">
        <v>15765</v>
      </c>
      <c r="AW19" s="20">
        <v>15740</v>
      </c>
      <c r="AX19" s="25">
        <v>15741</v>
      </c>
      <c r="AY19" s="25">
        <v>15780</v>
      </c>
      <c r="AZ19" s="25">
        <v>15771</v>
      </c>
      <c r="BA19" s="25">
        <v>15786</v>
      </c>
      <c r="BB19" s="25">
        <v>15799</v>
      </c>
      <c r="BC19" s="25">
        <v>15825</v>
      </c>
      <c r="BD19" s="25">
        <v>15843</v>
      </c>
      <c r="BE19" s="25">
        <v>15845</v>
      </c>
      <c r="BF19" s="25">
        <v>15863</v>
      </c>
      <c r="BG19" s="25">
        <v>15873</v>
      </c>
      <c r="BH19" s="25">
        <v>15880</v>
      </c>
      <c r="BI19" s="25">
        <v>15890</v>
      </c>
      <c r="BJ19" s="25">
        <v>15912</v>
      </c>
      <c r="BK19" s="25">
        <v>15903</v>
      </c>
      <c r="BL19" s="25">
        <v>15902</v>
      </c>
      <c r="BM19" s="25">
        <v>15913</v>
      </c>
      <c r="BN19" s="25">
        <v>15913</v>
      </c>
      <c r="BO19" s="25">
        <v>15935</v>
      </c>
      <c r="BP19" s="25">
        <v>15937</v>
      </c>
      <c r="BQ19" s="25">
        <v>15963</v>
      </c>
      <c r="BR19" s="25">
        <v>15998</v>
      </c>
      <c r="BS19" s="25">
        <v>16000</v>
      </c>
      <c r="BT19" s="25">
        <v>16010</v>
      </c>
      <c r="BU19" s="25">
        <v>16037</v>
      </c>
      <c r="BV19" s="25">
        <v>16065</v>
      </c>
      <c r="BW19" s="25">
        <v>16077</v>
      </c>
      <c r="BX19" s="25">
        <v>16040</v>
      </c>
      <c r="BY19" s="25">
        <v>16039</v>
      </c>
      <c r="BZ19" s="25">
        <v>15987</v>
      </c>
      <c r="CA19" s="25">
        <v>16019</v>
      </c>
      <c r="CB19" s="25">
        <v>16043</v>
      </c>
      <c r="CC19" s="25">
        <v>16080</v>
      </c>
      <c r="CD19" s="25">
        <v>16128</v>
      </c>
      <c r="CE19" s="25">
        <v>16145</v>
      </c>
      <c r="CF19" s="25">
        <v>16240</v>
      </c>
      <c r="CG19" s="25">
        <v>16080</v>
      </c>
      <c r="CH19" s="25">
        <v>16083</v>
      </c>
      <c r="CI19" s="25">
        <v>16046</v>
      </c>
      <c r="CJ19" s="25">
        <v>16020</v>
      </c>
      <c r="CK19" s="25">
        <v>15974</v>
      </c>
      <c r="CL19" s="25">
        <v>15932</v>
      </c>
      <c r="CM19" s="25">
        <v>16110</v>
      </c>
      <c r="CN19" s="25">
        <v>16117</v>
      </c>
      <c r="CO19" s="25">
        <v>16236</v>
      </c>
      <c r="CP19" s="25">
        <v>16844</v>
      </c>
      <c r="CQ19" s="39">
        <v>16740</v>
      </c>
      <c r="CR19" s="39">
        <v>16520</v>
      </c>
      <c r="CS19" s="39">
        <v>16580</v>
      </c>
      <c r="CT19" s="39">
        <v>16830</v>
      </c>
      <c r="CU19" s="39">
        <v>16971</v>
      </c>
      <c r="CV19" s="39">
        <v>17450</v>
      </c>
      <c r="CW19" s="39">
        <v>17472</v>
      </c>
      <c r="CX19" s="39">
        <v>17482</v>
      </c>
      <c r="CY19" s="39">
        <v>17750</v>
      </c>
      <c r="CZ19" s="39">
        <v>17783</v>
      </c>
      <c r="DA19" s="39">
        <v>17780</v>
      </c>
      <c r="DB19" s="39">
        <v>17800</v>
      </c>
      <c r="DC19" s="39">
        <v>17810</v>
      </c>
      <c r="DD19" s="39">
        <v>17819</v>
      </c>
      <c r="DE19" s="39">
        <v>17840</v>
      </c>
      <c r="DF19" s="39">
        <v>17857</v>
      </c>
      <c r="DG19" s="39">
        <v>18486</v>
      </c>
      <c r="DH19" s="39">
        <v>18400</v>
      </c>
      <c r="DI19" s="39">
        <v>18479</v>
      </c>
      <c r="DJ19" s="39">
        <v>18875</v>
      </c>
      <c r="DK19" s="39">
        <v>19100</v>
      </c>
      <c r="DL19" s="39">
        <v>18975</v>
      </c>
      <c r="DM19" s="39">
        <v>19000</v>
      </c>
      <c r="DN19" s="39">
        <v>19080</v>
      </c>
      <c r="DO19" s="39">
        <v>19075</v>
      </c>
      <c r="DP19" s="39">
        <v>19500</v>
      </c>
      <c r="DQ19" s="39">
        <v>19500</v>
      </c>
      <c r="DR19" s="39">
        <v>19500</v>
      </c>
      <c r="DS19" s="39">
        <v>19495</v>
      </c>
      <c r="DT19" s="39">
        <v>19490</v>
      </c>
      <c r="DU19" s="39">
        <v>19495</v>
      </c>
      <c r="DV19" s="39">
        <v>20885</v>
      </c>
      <c r="DW19" s="39">
        <v>20895</v>
      </c>
      <c r="DX19" s="39">
        <v>20500</v>
      </c>
      <c r="DY19" s="39">
        <v>20510</v>
      </c>
      <c r="DZ19" s="39">
        <v>20570</v>
      </c>
      <c r="EA19" s="39">
        <v>20520</v>
      </c>
      <c r="EB19" s="39">
        <v>20830</v>
      </c>
      <c r="EC19" s="39">
        <v>20785</v>
      </c>
      <c r="ED19" s="39">
        <v>20986</v>
      </c>
      <c r="EE19" s="39">
        <v>21009</v>
      </c>
      <c r="EF19" s="39">
        <v>21010</v>
      </c>
      <c r="EG19" s="39">
        <v>20900</v>
      </c>
      <c r="EH19" s="39">
        <v>20820</v>
      </c>
      <c r="EI19" s="39">
        <v>20800</v>
      </c>
      <c r="EJ19" s="39">
        <v>20830</v>
      </c>
      <c r="EK19" s="39">
        <v>20860</v>
      </c>
      <c r="EL19" s="39">
        <v>20900</v>
      </c>
      <c r="EM19" s="39">
        <v>20840</v>
      </c>
      <c r="EN19" s="39">
        <v>20840</v>
      </c>
      <c r="EO19" s="39">
        <v>20860</v>
      </c>
      <c r="EP19" s="39">
        <v>20830</v>
      </c>
      <c r="EQ19" s="39">
        <v>20840</v>
      </c>
      <c r="ER19" s="39">
        <v>20815</v>
      </c>
      <c r="ES19" s="39">
        <v>20805</v>
      </c>
      <c r="ET19" s="39">
        <v>20890</v>
      </c>
      <c r="EU19" s="39">
        <v>20920</v>
      </c>
      <c r="EV19" s="39">
        <v>20905</v>
      </c>
      <c r="EW19" s="39">
        <v>20980</v>
      </c>
      <c r="EX19" s="39">
        <v>21000</v>
      </c>
      <c r="EY19" s="39">
        <v>21150</v>
      </c>
      <c r="EZ19" s="39">
        <v>21120</v>
      </c>
      <c r="FA19" s="39">
        <v>21112</v>
      </c>
      <c r="FB19" s="39">
        <v>21080</v>
      </c>
      <c r="FC19" s="39">
        <v>21090</v>
      </c>
      <c r="FD19" s="62">
        <v>21080</v>
      </c>
      <c r="FE19" s="62">
        <v>21035</v>
      </c>
      <c r="FF19" s="62">
        <v>21080</v>
      </c>
      <c r="FG19" s="62">
        <v>21085</v>
      </c>
      <c r="FH19" s="62">
        <v>21060</v>
      </c>
      <c r="FI19" s="62">
        <v>21140</v>
      </c>
      <c r="FJ19" s="62">
        <v>21300</v>
      </c>
      <c r="FK19" s="62">
        <v>21220</v>
      </c>
      <c r="FL19" s="62">
        <v>21170</v>
      </c>
      <c r="FM19" s="62">
        <v>21220</v>
      </c>
      <c r="FN19" s="62">
        <v>21220</v>
      </c>
      <c r="FO19" s="62">
        <v>21390</v>
      </c>
      <c r="FP19" s="62">
        <v>21380</v>
      </c>
      <c r="FQ19" s="62">
        <v>21320</v>
      </c>
      <c r="FR19" s="62">
        <v>21335</v>
      </c>
      <c r="FS19" s="62">
        <v>21515</v>
      </c>
      <c r="FT19" s="62">
        <v>21550</v>
      </c>
      <c r="FU19" s="62">
        <v>21785</v>
      </c>
      <c r="FV19" s="62">
        <v>21815</v>
      </c>
      <c r="FW19" s="62">
        <v>21811</v>
      </c>
      <c r="FX19" s="62">
        <v>22460</v>
      </c>
      <c r="FY19" s="62">
        <v>22486</v>
      </c>
      <c r="FZ19" s="62">
        <v>22313</v>
      </c>
      <c r="GA19" s="62">
        <v>22475</v>
      </c>
      <c r="GB19" s="62">
        <v>22406</v>
      </c>
      <c r="GC19" s="62">
        <v>22193</v>
      </c>
      <c r="GD19" s="62">
        <v>22293</v>
      </c>
      <c r="GE19" s="62">
        <v>22228</v>
      </c>
      <c r="GF19" s="62">
        <v>22278</v>
      </c>
      <c r="GG19" s="62">
        <v>22415</v>
      </c>
      <c r="GH19" s="62">
        <v>22258</v>
      </c>
      <c r="GI19" s="62">
        <v>22278</v>
      </c>
      <c r="GJ19" s="62">
        <v>22270</v>
      </c>
      <c r="GK19" s="62">
        <v>22291</v>
      </c>
      <c r="GL19" s="62">
        <v>22305</v>
      </c>
      <c r="GM19" s="62">
        <v>22665</v>
      </c>
      <c r="GN19" s="62">
        <v>22744</v>
      </c>
      <c r="GO19" s="62">
        <v>22590</v>
      </c>
      <c r="GP19" s="62">
        <v>22777</v>
      </c>
      <c r="GQ19" s="62">
        <v>22765</v>
      </c>
      <c r="GR19" s="62">
        <v>22730</v>
      </c>
      <c r="GS19" s="62">
        <v>22710</v>
      </c>
      <c r="GT19" s="62">
        <v>22730</v>
      </c>
      <c r="GU19" s="62">
        <v>22711</v>
      </c>
      <c r="GV19" s="62">
        <v>22698</v>
      </c>
      <c r="GW19" s="62">
        <v>22697</v>
      </c>
      <c r="GX19" s="62">
        <v>22702</v>
      </c>
      <c r="GY19" s="62">
        <v>22674</v>
      </c>
      <c r="GZ19" s="62">
        <v>22698</v>
      </c>
      <c r="HA19" s="62">
        <v>22695</v>
      </c>
      <c r="HB19" s="62">
        <v>22727</v>
      </c>
      <c r="HC19" s="62">
        <v>22805</v>
      </c>
      <c r="HD19" s="62">
        <v>22720</v>
      </c>
      <c r="HE19" s="62">
        <v>22815</v>
      </c>
      <c r="HF19" s="62">
        <v>22915</v>
      </c>
      <c r="HG19" s="62">
        <v>23238</v>
      </c>
      <c r="HH19" s="62">
        <v>23284</v>
      </c>
      <c r="HI19" s="62">
        <v>23310</v>
      </c>
      <c r="HJ19" s="62">
        <v>23311</v>
      </c>
      <c r="HK19" s="98">
        <v>23309</v>
      </c>
      <c r="HL19" s="98">
        <v>23150</v>
      </c>
      <c r="HM19" s="98">
        <v>23202</v>
      </c>
      <c r="HN19" s="98">
        <v>23198</v>
      </c>
      <c r="HO19" s="98">
        <v>23200</v>
      </c>
      <c r="HP19" s="98">
        <v>23253</v>
      </c>
      <c r="HQ19" s="98">
        <v>23415</v>
      </c>
      <c r="HR19" s="98">
        <v>23318</v>
      </c>
      <c r="HS19" s="98">
        <v>23200</v>
      </c>
      <c r="HT19" s="98">
        <v>23198</v>
      </c>
      <c r="HU19" s="98">
        <v>23200</v>
      </c>
      <c r="HV19" s="98">
        <v>23201</v>
      </c>
      <c r="HW19" s="98">
        <v>23198</v>
      </c>
      <c r="HX19" s="98">
        <v>23171</v>
      </c>
      <c r="HY19" s="98">
        <v>23179</v>
      </c>
      <c r="HZ19" s="98">
        <v>23238</v>
      </c>
      <c r="IA19" s="98">
        <v>23633</v>
      </c>
      <c r="IB19" s="98">
        <v>23307</v>
      </c>
      <c r="IC19" s="98">
        <v>23288</v>
      </c>
      <c r="ID19" s="98">
        <v>23175</v>
      </c>
      <c r="IE19" s="98">
        <v>23151</v>
      </c>
      <c r="IF19" s="98">
        <v>23174</v>
      </c>
      <c r="IG19" s="98">
        <v>23163</v>
      </c>
      <c r="IH19" s="98">
        <v>23175</v>
      </c>
      <c r="II19" s="98">
        <v>23160</v>
      </c>
      <c r="IJ19" s="98">
        <v>23067</v>
      </c>
      <c r="IK19" s="98">
        <v>23036</v>
      </c>
      <c r="IL19" s="98">
        <v>23019</v>
      </c>
      <c r="IM19" s="98">
        <v>23069</v>
      </c>
      <c r="IN19" s="98">
        <v>23045</v>
      </c>
      <c r="IO19" s="98">
        <v>23022</v>
      </c>
      <c r="IP19" s="98">
        <v>22997</v>
      </c>
      <c r="IQ19" s="98">
        <v>22944</v>
      </c>
      <c r="IR19" s="98">
        <v>22755</v>
      </c>
      <c r="IS19" s="98">
        <v>22735</v>
      </c>
      <c r="IT19" s="98">
        <v>22745</v>
      </c>
      <c r="IU19" s="98">
        <v>22674</v>
      </c>
      <c r="IV19" s="98">
        <v>22778</v>
      </c>
      <c r="IW19" s="98">
        <v>22651</v>
      </c>
      <c r="IX19" s="98">
        <v>22815</v>
      </c>
      <c r="IY19" s="98">
        <v>22853</v>
      </c>
      <c r="IZ19" s="98">
        <v>22955</v>
      </c>
      <c r="JA19" s="98">
        <v>23179</v>
      </c>
      <c r="JB19" s="98">
        <v>23246</v>
      </c>
      <c r="JC19" s="98">
        <v>23358</v>
      </c>
      <c r="JD19" s="98">
        <v>23419</v>
      </c>
      <c r="JE19" s="98">
        <v>23820</v>
      </c>
      <c r="JF19" s="98">
        <v>24815</v>
      </c>
      <c r="JG19" s="98">
        <v>24754</v>
      </c>
      <c r="JH19" s="98">
        <v>23570</v>
      </c>
    </row>
    <row r="20" spans="1:268" ht="21" customHeight="1" x14ac:dyDescent="0.25">
      <c r="A20" s="23" t="s">
        <v>10</v>
      </c>
      <c r="B20" s="16"/>
      <c r="C20" s="73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48"/>
      <c r="EV20" s="48"/>
      <c r="EW20" s="48"/>
      <c r="EX20" s="48"/>
      <c r="EY20" s="48"/>
      <c r="EZ20" s="48"/>
      <c r="FA20" s="48"/>
      <c r="FB20" s="48"/>
      <c r="FC20" s="48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  <c r="IO20" s="100"/>
      <c r="IP20" s="100"/>
      <c r="IQ20" s="100"/>
      <c r="IR20" s="100"/>
      <c r="IS20" s="100"/>
      <c r="IT20" s="100"/>
      <c r="IU20" s="100"/>
      <c r="IV20" s="100"/>
      <c r="IW20" s="100"/>
      <c r="IX20" s="100"/>
      <c r="IY20" s="100"/>
      <c r="IZ20" s="100"/>
      <c r="JA20" s="100"/>
      <c r="JB20" s="100"/>
      <c r="JC20" s="100"/>
      <c r="JD20" s="100"/>
      <c r="JE20" s="100"/>
      <c r="JF20" s="100"/>
      <c r="JG20" s="100"/>
      <c r="JH20" s="100"/>
    </row>
    <row r="21" spans="1:268" ht="23.25" customHeight="1" x14ac:dyDescent="0.2">
      <c r="A21" s="29" t="s">
        <v>14</v>
      </c>
      <c r="B21" s="16" t="s">
        <v>26</v>
      </c>
      <c r="C21" s="78">
        <v>0.99521999999999999</v>
      </c>
      <c r="D21" s="12">
        <v>1.07596</v>
      </c>
      <c r="E21" s="12">
        <f>1/0.9256</f>
        <v>1.0803802938634399</v>
      </c>
      <c r="F21" s="12">
        <f>1/0.917</f>
        <v>1.0905125408942202</v>
      </c>
      <c r="G21" s="12">
        <f>1/0.8819</f>
        <v>1.1339154099104207</v>
      </c>
      <c r="H21" s="12">
        <f>1/0.8912</f>
        <v>1.1220825852782765</v>
      </c>
      <c r="I21" s="12">
        <v>1.17</v>
      </c>
      <c r="J21" s="12">
        <v>1.16279</v>
      </c>
      <c r="K21" s="12">
        <v>1.1443000000000001</v>
      </c>
      <c r="L21" s="12">
        <v>1.0902700000000001</v>
      </c>
      <c r="M21" s="12">
        <v>1.08507</v>
      </c>
      <c r="N21" s="12">
        <v>1.11982</v>
      </c>
      <c r="O21" s="12">
        <f>1/0.8865</f>
        <v>1.1280315848843767</v>
      </c>
      <c r="P21" s="12">
        <f>1/0.8822</f>
        <v>1.1335298118340513</v>
      </c>
      <c r="Q21" s="12">
        <f>1/0.8612</f>
        <v>1.1611704598235022</v>
      </c>
      <c r="R21" s="12">
        <f>1/0.8656</f>
        <v>1.155268022181146</v>
      </c>
      <c r="S21" s="12">
        <f>1/0.8709</f>
        <v>1.1482374555057986</v>
      </c>
      <c r="T21" s="12">
        <f>1/0.9013</f>
        <v>1.1095084877399313</v>
      </c>
      <c r="U21" s="12">
        <f>1/0.9365</f>
        <v>1.0678056593699947</v>
      </c>
      <c r="V21" s="12">
        <f>1/0.9875</f>
        <v>1.0126582278481011</v>
      </c>
      <c r="W21" s="12">
        <f>1/0.9837</f>
        <v>1.0165700925078784</v>
      </c>
      <c r="X21" s="12">
        <f>1/0.9836</f>
        <v>1.0166734444896299</v>
      </c>
      <c r="Y21" s="12">
        <f>1/0.9815</f>
        <v>1.0188487009679061</v>
      </c>
      <c r="Z21" s="12">
        <f>1/0.9833</f>
        <v>1.0169836265636123</v>
      </c>
      <c r="AA21" s="12">
        <f>1/0.993</f>
        <v>1.0070493454179255</v>
      </c>
      <c r="AB21" s="12">
        <v>1.0427999999999999</v>
      </c>
      <c r="AC21" s="12">
        <v>1.0815999999999999</v>
      </c>
      <c r="AD21" s="12">
        <f>1/1.075</f>
        <v>0.93023255813953487</v>
      </c>
      <c r="AE21" s="12">
        <f>1/1.0796</f>
        <v>0.92626898851426465</v>
      </c>
      <c r="AF21" s="12">
        <f>1/1.112</f>
        <v>0.89928057553956831</v>
      </c>
      <c r="AG21" s="12">
        <f>1/1.1887</f>
        <v>0.84125515268781015</v>
      </c>
      <c r="AH21" s="12">
        <f>1/1.142</f>
        <v>0.87565674255691772</v>
      </c>
      <c r="AI21" s="12">
        <f>1/1.1355</f>
        <v>0.8806693086745927</v>
      </c>
      <c r="AJ21" s="12">
        <f>1/1.0891</f>
        <v>0.91818933063997799</v>
      </c>
      <c r="AK21" s="12">
        <f>1/1.1614</f>
        <v>0.86102979163079041</v>
      </c>
      <c r="AL21" s="12">
        <f>1/1.1675</f>
        <v>0.85653104925053536</v>
      </c>
      <c r="AM21" s="12">
        <f>1/1.191</f>
        <v>0.83963056255247692</v>
      </c>
      <c r="AN21" s="12">
        <f>1/1.257</f>
        <v>0.79554494828957845</v>
      </c>
      <c r="AO21" s="12">
        <f>1/1.2403</f>
        <v>0.80625655083447556</v>
      </c>
      <c r="AP21" s="12">
        <f>1/1.2436</f>
        <v>0.80411707944676747</v>
      </c>
      <c r="AQ21" s="12">
        <f>1/1.2187</f>
        <v>0.82054648395831631</v>
      </c>
      <c r="AR21" s="12">
        <f>1/1.1952</f>
        <v>0.83668005354752339</v>
      </c>
      <c r="AS21" s="12">
        <f>1/1.2214</f>
        <v>0.81873260193220887</v>
      </c>
      <c r="AT21" s="12">
        <f>1/1.2088</f>
        <v>0.82726671078755787</v>
      </c>
      <c r="AU21" s="12">
        <f>1/1.2054</f>
        <v>0.82960013273602118</v>
      </c>
      <c r="AV21" s="12">
        <f>1/1.2059</f>
        <v>0.82925615722696744</v>
      </c>
      <c r="AW21" s="12">
        <f>1/1.2327</f>
        <v>0.81122738703658637</v>
      </c>
      <c r="AX21" s="12">
        <f>1/1.2695</f>
        <v>0.78771169751870806</v>
      </c>
      <c r="AY21" s="12">
        <f>1/1.3259</f>
        <v>0.7542046911531789</v>
      </c>
      <c r="AZ21" s="12">
        <f>1/1.3279</f>
        <v>0.75306875517734762</v>
      </c>
      <c r="BA21" s="12">
        <f>1/1.3019</f>
        <v>0.76810814962746754</v>
      </c>
      <c r="BB21" s="12">
        <f>1/1.321</f>
        <v>0.75700227100681305</v>
      </c>
      <c r="BC21" s="12">
        <f>1/1.2926</f>
        <v>0.7736345350456445</v>
      </c>
      <c r="BD21" s="12">
        <f>1/1.2934</f>
        <v>0.77315602288541818</v>
      </c>
      <c r="BE21" s="12">
        <f>1/1.2512</f>
        <v>0.79923273657288996</v>
      </c>
      <c r="BF21" s="12">
        <f>1/1.2089</f>
        <v>0.82719827942757873</v>
      </c>
      <c r="BG21" s="12">
        <f>1/1.2129</f>
        <v>0.82447027784648352</v>
      </c>
      <c r="BH21" s="12">
        <f>1/1.2225</f>
        <v>0.81799591002044991</v>
      </c>
      <c r="BI21" s="12">
        <f>1/1.2031</f>
        <v>0.831186102568365</v>
      </c>
      <c r="BJ21" s="12">
        <f>1/1.2144</f>
        <v>0.82345191040843224</v>
      </c>
      <c r="BK21" s="12">
        <f>1/1.1763</f>
        <v>0.85012326787384174</v>
      </c>
      <c r="BL21" s="12">
        <f>1/1.1845</f>
        <v>0.84423807513718863</v>
      </c>
      <c r="BM21" s="12">
        <f>1/1.2087</f>
        <v>0.82733515347067088</v>
      </c>
      <c r="BN21" s="12">
        <f>1/1.1851</f>
        <v>0.84381064889038893</v>
      </c>
      <c r="BO21" s="12">
        <f>1/1.2162</f>
        <v>0.82223318533136003</v>
      </c>
      <c r="BP21" s="12">
        <f>1/1.2532</f>
        <v>0.79795722949249914</v>
      </c>
      <c r="BQ21" s="12">
        <f>1/1.2854</f>
        <v>0.77796794772055389</v>
      </c>
      <c r="BR21" s="12">
        <f>1/1.2662</f>
        <v>0.78976465013426</v>
      </c>
      <c r="BS21" s="12">
        <f>1/1.2757</f>
        <v>0.78388335815630628</v>
      </c>
      <c r="BT21" s="12">
        <f>1/1.2833</f>
        <v>0.77924101924725309</v>
      </c>
      <c r="BU21" s="12">
        <f>1/1.2717</f>
        <v>0.78634898167806866</v>
      </c>
      <c r="BV21" s="12">
        <f>1/1.2708</f>
        <v>0.78690588605602774</v>
      </c>
      <c r="BW21" s="12">
        <f>1/1.3148</f>
        <v>0.76057195010648004</v>
      </c>
      <c r="BX21" s="12">
        <f>1/1.3138</f>
        <v>0.76115086010047184</v>
      </c>
      <c r="BY21" s="12">
        <f>1/1.2959</f>
        <v>0.7716644802839725</v>
      </c>
      <c r="BZ21" s="12">
        <v>0.75671585319712453</v>
      </c>
      <c r="CA21" s="12">
        <f>1/1.3327</f>
        <v>0.75035641929916708</v>
      </c>
      <c r="CB21" s="12">
        <f>1/1.3627</f>
        <v>0.73383723490129893</v>
      </c>
      <c r="CC21" s="12">
        <f>1/1.343</f>
        <v>0.74460163812360391</v>
      </c>
      <c r="CD21" s="12">
        <f>1/1.3441</f>
        <v>0.74399226248047012</v>
      </c>
      <c r="CE21" s="12">
        <f>1/1.3715</f>
        <v>0.72912869121399926</v>
      </c>
      <c r="CF21" s="12">
        <f>1/1.3665</f>
        <v>0.73179656055616538</v>
      </c>
      <c r="CG21" s="12">
        <f>1/1.4153</f>
        <v>0.70656397936833182</v>
      </c>
      <c r="CH21" s="12">
        <f>1/1.441</f>
        <v>0.69396252602359465</v>
      </c>
      <c r="CI21" s="12">
        <f>1/1.4769</f>
        <v>0.67709391292572274</v>
      </c>
      <c r="CJ21" s="12">
        <f>1/1.4736</f>
        <v>0.67861020629750268</v>
      </c>
      <c r="CK21" s="12">
        <f>1/1.4848</f>
        <v>0.67349137931034486</v>
      </c>
      <c r="CL21" s="12">
        <f>1/1.5188</f>
        <v>0.65841453779299453</v>
      </c>
      <c r="CM21" s="12">
        <f>1/1.5764</f>
        <v>0.63435676224308546</v>
      </c>
      <c r="CN21" s="12">
        <f>1/1.557</f>
        <v>0.64226075786769432</v>
      </c>
      <c r="CO21" s="12">
        <v>0.64400000000000002</v>
      </c>
      <c r="CP21" s="12">
        <f>1/1.5792</f>
        <v>0.63323201621073966</v>
      </c>
      <c r="CQ21" s="12">
        <f>1/1.5579</f>
        <v>0.64188972334552918</v>
      </c>
      <c r="CR21" s="12">
        <f>1/1.4706</f>
        <v>0.67999456004351966</v>
      </c>
      <c r="CS21" s="12">
        <f>1/1.4671</f>
        <v>0.68161679503782968</v>
      </c>
      <c r="CT21" s="12">
        <f>1/1.3054</f>
        <v>0.7660487206986365</v>
      </c>
      <c r="CU21" s="12">
        <f>1/1.2881</f>
        <v>0.77633724089744582</v>
      </c>
      <c r="CV21" s="12">
        <f>1/1.4134</f>
        <v>0.70751379651903212</v>
      </c>
      <c r="CW21" s="12">
        <f>1/1.2906</f>
        <v>0.77483341081667445</v>
      </c>
      <c r="CX21" s="12">
        <f>1/1.2694</f>
        <v>0.78777375137860406</v>
      </c>
      <c r="CY21" s="12">
        <f>1/1.3183</f>
        <v>0.75855268148372901</v>
      </c>
      <c r="CZ21" s="12">
        <f>1/1.3266</f>
        <v>0.7538067239559777</v>
      </c>
      <c r="DA21" s="12">
        <f>1/1.3957</f>
        <v>0.71648635093501467</v>
      </c>
      <c r="DB21" s="12">
        <f>1/1.4114</f>
        <v>0.70851636672807139</v>
      </c>
      <c r="DC21" s="12">
        <f>1/1.4089</f>
        <v>0.70977358222726949</v>
      </c>
      <c r="DD21" s="12">
        <f>1/1.4298</f>
        <v>0.69939851727514335</v>
      </c>
      <c r="DE21" s="12">
        <f>1/1.46</f>
        <v>0.68493150684931503</v>
      </c>
      <c r="DF21" s="12">
        <f>1/1.4835</f>
        <v>0.67408156386922813</v>
      </c>
      <c r="DG21" s="12">
        <f>1/1.4997</f>
        <v>0.666800026672001</v>
      </c>
      <c r="DH21" s="12">
        <f>1/1.4353</f>
        <v>0.6967184560719013</v>
      </c>
      <c r="DI21" s="12">
        <f>1/1.3954</f>
        <v>0.71664038985237211</v>
      </c>
      <c r="DJ21" s="12">
        <f>1/1.3534</f>
        <v>0.73887985813506729</v>
      </c>
      <c r="DK21" s="12">
        <f>1/1.3423</f>
        <v>0.74498994263577434</v>
      </c>
      <c r="DL21" s="12">
        <f>1/1.3192</f>
        <v>0.75803517283201949</v>
      </c>
      <c r="DM21" s="12">
        <f>1/1.2283</f>
        <v>0.81413335504355622</v>
      </c>
      <c r="DN21" s="12">
        <f>1/1.218</f>
        <v>0.82101806239737274</v>
      </c>
      <c r="DO21" s="12">
        <f>1/1.3059</f>
        <v>0.76575541771958033</v>
      </c>
      <c r="DP21" s="12">
        <f>1/1.2634</f>
        <v>0.79151495963273699</v>
      </c>
      <c r="DQ21" s="12">
        <f>1/1.3628</f>
        <v>0.73378338714411506</v>
      </c>
      <c r="DR21" s="12">
        <f>1/1.3786</f>
        <v>0.72537356738720438</v>
      </c>
      <c r="DS21" s="12">
        <f>1/1.3107</f>
        <v>0.76295109483482115</v>
      </c>
      <c r="DT21" s="12">
        <f>1/1.3299</f>
        <v>0.75193623580720348</v>
      </c>
      <c r="DU21" s="12">
        <f>1/1.359</f>
        <v>0.73583517292126566</v>
      </c>
      <c r="DV21" s="12">
        <f>1/1.372</f>
        <v>0.7288629737609329</v>
      </c>
      <c r="DW21" s="12">
        <f>1/1.4117</f>
        <v>0.70836580009917127</v>
      </c>
      <c r="DX21" s="12">
        <f>1/1.4845</f>
        <v>0.67362748400134731</v>
      </c>
      <c r="DY21" s="12">
        <f>1/1.433</f>
        <v>0.69783670621074667</v>
      </c>
      <c r="DZ21" s="12">
        <f>1/1.4471</f>
        <v>0.69103724690760826</v>
      </c>
      <c r="EA21" s="12">
        <f>1/1.4331</f>
        <v>0.69778801200195384</v>
      </c>
      <c r="EB21" s="12">
        <f>1/1.4437</f>
        <v>0.69266468102791434</v>
      </c>
      <c r="EC21" s="12">
        <f>1/1.3594</f>
        <v>0.7356186552890982</v>
      </c>
      <c r="ED21" s="12">
        <f>1/1.417</f>
        <v>0.7057163020465772</v>
      </c>
      <c r="EE21" s="12">
        <f>1/1.33324</f>
        <v>0.75005250367525733</v>
      </c>
      <c r="EF21" s="12">
        <f>1/1.2949</f>
        <v>0.77226040620897374</v>
      </c>
      <c r="EG21" s="12">
        <f>1/1.3135</f>
        <v>0.76132470498667693</v>
      </c>
      <c r="EH21" s="12">
        <f>1/1.3474</f>
        <v>0.74217010538815498</v>
      </c>
      <c r="EI21" s="12">
        <f>1/1.3317</f>
        <v>0.75091987684914019</v>
      </c>
      <c r="EJ21" s="12">
        <f>1/1.3232</f>
        <v>0.75574365175332536</v>
      </c>
      <c r="EK21" s="12">
        <f>1/1.2363</f>
        <v>0.80886516217746507</v>
      </c>
      <c r="EL21" s="12">
        <f>1/1.2439</f>
        <v>0.80392314494734307</v>
      </c>
      <c r="EM21" s="12">
        <f>1/1.226</f>
        <v>0.81566068515497558</v>
      </c>
      <c r="EN21" s="12">
        <f>1/1.2512</f>
        <v>0.79923273657288996</v>
      </c>
      <c r="EO21" s="12">
        <f>1/1.2912</f>
        <v>0.77447335811648088</v>
      </c>
      <c r="EP21" s="12">
        <f>1/1.2908</f>
        <v>0.77471335605825853</v>
      </c>
      <c r="EQ21" s="12">
        <f>1/1.2972</f>
        <v>0.77089115016959608</v>
      </c>
      <c r="ER21" s="12">
        <f>1/1.323</f>
        <v>0.75585789871504161</v>
      </c>
      <c r="ES21" s="12">
        <f>1/1.3568</f>
        <v>0.73702830188679247</v>
      </c>
      <c r="ET21" s="12">
        <f>1/1.3154</f>
        <v>0.76022502660787594</v>
      </c>
      <c r="EU21" s="49">
        <f>1/1.2814</f>
        <v>0.78039644139222719</v>
      </c>
      <c r="EV21" s="49">
        <f>1/1.3093</f>
        <v>0.7637668983426259</v>
      </c>
      <c r="EW21" s="49">
        <f>1/1.3039</f>
        <v>0.76692997929289053</v>
      </c>
      <c r="EX21" s="49">
        <f>1/1.304</f>
        <v>0.76687116564417179</v>
      </c>
      <c r="EY21" s="49">
        <f>1/1.3265</f>
        <v>0.7538635506973238</v>
      </c>
      <c r="EZ21" s="49">
        <f>1/1.3235</f>
        <v>0.75557234605213452</v>
      </c>
      <c r="FA21" s="49">
        <f>1/1.3494</f>
        <v>0.74107010523195493</v>
      </c>
      <c r="FB21" s="49">
        <f>1/1.3727</f>
        <v>0.72849129452903039</v>
      </c>
      <c r="FC21" s="49">
        <f>1/1.3602</f>
        <v>0.7351860020585208</v>
      </c>
      <c r="FD21" s="64">
        <f>1/1.3805</f>
        <v>0.72437522636725826</v>
      </c>
      <c r="FE21" s="64">
        <f>1/1.3554</f>
        <v>0.73778958241109638</v>
      </c>
      <c r="FF21" s="64">
        <f>1/1.3705</f>
        <v>0.72966070777088654</v>
      </c>
      <c r="FG21" s="64">
        <f>1/1.3752</f>
        <v>0.72716695753344973</v>
      </c>
      <c r="FH21" s="64">
        <f>1/1.3814</f>
        <v>0.72390328652092084</v>
      </c>
      <c r="FI21" s="64">
        <f>1/1.36</f>
        <v>0.73529411764705876</v>
      </c>
      <c r="FJ21" s="64">
        <f>1/1.3644</f>
        <v>0.73292289651128695</v>
      </c>
      <c r="FK21" s="64">
        <f>1/1.3396</f>
        <v>0.74649148999701409</v>
      </c>
      <c r="FL21" s="64">
        <f>1/1.3185</f>
        <v>0.75843761850587788</v>
      </c>
      <c r="FM21" s="64">
        <f>1/1.2688</f>
        <v>0.78814627994955866</v>
      </c>
      <c r="FN21" s="64">
        <f>1/1.2605</f>
        <v>0.79333597778659271</v>
      </c>
      <c r="FO21" s="64">
        <f>1/1.2455</f>
        <v>0.80289040545965473</v>
      </c>
      <c r="FP21" s="64">
        <f>1/1.216</f>
        <v>0.82236842105263164</v>
      </c>
      <c r="FQ21" s="64">
        <f>1/1.1326</f>
        <v>0.88292424509977041</v>
      </c>
      <c r="FR21" s="64">
        <f>1/1.121</f>
        <v>0.89206066012488849</v>
      </c>
      <c r="FS21" s="64">
        <f>1/1.0838</f>
        <v>0.92267946115519461</v>
      </c>
      <c r="FT21" s="64">
        <f>1/1.1114</f>
        <v>0.89976606082418575</v>
      </c>
      <c r="FU21" s="64">
        <f>1/1.0957</f>
        <v>0.9126585744273068</v>
      </c>
      <c r="FV21" s="64">
        <f>1/1.1213</f>
        <v>0.89182199233033088</v>
      </c>
      <c r="FW21" s="64">
        <f>1/1.0942</f>
        <v>0.91390970572107466</v>
      </c>
      <c r="FX21" s="64">
        <f>1/1.1213</f>
        <v>0.89182199233033088</v>
      </c>
      <c r="FY21" s="64">
        <f>1/1.1252</f>
        <v>0.88873089228581592</v>
      </c>
      <c r="FZ21" s="64">
        <f>1/1.0985</f>
        <v>0.91033227127901684</v>
      </c>
      <c r="GA21" s="64">
        <f>1/1.0585</f>
        <v>0.94473311289560702</v>
      </c>
      <c r="GB21" s="64">
        <f>1/1.0935</f>
        <v>0.91449474165523559</v>
      </c>
      <c r="GC21" s="64">
        <f>1/1.0932</f>
        <v>0.91474570069520678</v>
      </c>
      <c r="GD21" s="64">
        <f>1/1.0931</f>
        <v>0.91482938431982441</v>
      </c>
      <c r="GE21" s="64">
        <f>1/1.1333</f>
        <v>0.8823788934968676</v>
      </c>
      <c r="GF21" s="64">
        <f>1/1.1357</f>
        <v>0.88051422030465798</v>
      </c>
      <c r="GG21" s="64">
        <f>1/1.1148</f>
        <v>0.89702188733405097</v>
      </c>
      <c r="GH21" s="64">
        <f>1/1.1113</f>
        <v>0.89984702600557909</v>
      </c>
      <c r="GI21" s="64">
        <f>1/1.1083</f>
        <v>0.90228277542181712</v>
      </c>
      <c r="GJ21" s="64">
        <f>1/1.1146</f>
        <v>0.897182845863987</v>
      </c>
      <c r="GK21" s="64">
        <f>1/1.1221</f>
        <v>0.89118616879066026</v>
      </c>
      <c r="GL21" s="64">
        <f>1/1.0973</f>
        <v>0.91132780461131879</v>
      </c>
      <c r="GM21" s="64">
        <f>1/1.0651</f>
        <v>0.9388789784996715</v>
      </c>
      <c r="GN21" s="64">
        <f>1/1.0565</f>
        <v>0.94652153336488409</v>
      </c>
      <c r="GO21" s="64">
        <f>1/1.0704</f>
        <v>0.93423019431988041</v>
      </c>
      <c r="GP21" s="64">
        <f>1/1.0583</f>
        <v>0.94491165076065387</v>
      </c>
      <c r="GQ21" s="64">
        <f>1/1.0681</f>
        <v>0.93624192491339753</v>
      </c>
      <c r="GR21" s="64">
        <f>1/1.0867</f>
        <v>0.92021717125241553</v>
      </c>
      <c r="GS21" s="64">
        <f>1/1.1173</f>
        <v>0.89501476774366784</v>
      </c>
      <c r="GT21" s="64">
        <f>1/1.1435</f>
        <v>0.87450808919982514</v>
      </c>
      <c r="GU21" s="64">
        <f>1/1.1742</f>
        <v>0.85164367228751492</v>
      </c>
      <c r="GV21" s="64">
        <f>1/1.1887</f>
        <v>0.84125515268781015</v>
      </c>
      <c r="GW21" s="64">
        <f>1/1.1781</f>
        <v>0.84882437823614298</v>
      </c>
      <c r="GX21" s="64">
        <f>1/1.1648</f>
        <v>0.85851648351648346</v>
      </c>
      <c r="GY21" s="64">
        <f>1/1.1854</f>
        <v>0.84359709802598282</v>
      </c>
      <c r="GZ21" s="64">
        <f>1/1.1942</f>
        <v>0.83738067325406129</v>
      </c>
      <c r="HA21" s="64">
        <f>1/1.2382</f>
        <v>0.80762397027943789</v>
      </c>
      <c r="HB21" s="64">
        <f>1/1.2228</f>
        <v>0.81779522407589134</v>
      </c>
      <c r="HC21" s="64">
        <f>1/1.2297</f>
        <v>0.81320647312352601</v>
      </c>
      <c r="HD21" s="64">
        <f>1/1.2121</f>
        <v>0.8250144377526607</v>
      </c>
      <c r="HE21" s="64">
        <f>1/1.1659</f>
        <v>0.85770649283815081</v>
      </c>
      <c r="HF21" s="64">
        <f>1/1.1571</f>
        <v>0.8642295393656555</v>
      </c>
      <c r="HG21" s="64">
        <f>1/1.171</f>
        <v>0.85397096498719038</v>
      </c>
      <c r="HH21" s="64">
        <f>1/1.1662</f>
        <v>0.85748585148345058</v>
      </c>
      <c r="HI21" s="64">
        <f>1/1.1638</f>
        <v>0.85925416738271188</v>
      </c>
      <c r="HJ21" s="64">
        <f>1/1.1345</f>
        <v>0.88144557073600704</v>
      </c>
      <c r="HK21" s="101">
        <v>0.87780898876404501</v>
      </c>
      <c r="HL21" s="101">
        <v>0.87397308162908571</v>
      </c>
      <c r="HM21" s="101">
        <v>0.8700191404210893</v>
      </c>
      <c r="HN21" s="101">
        <v>0.87881184638368937</v>
      </c>
      <c r="HO21" s="101">
        <v>0.8903133903133903</v>
      </c>
      <c r="HP21" s="101">
        <v>0.89413447782546485</v>
      </c>
      <c r="HQ21" s="101">
        <v>0.89814981138853967</v>
      </c>
      <c r="HR21" s="101">
        <v>0.8792754770069463</v>
      </c>
      <c r="HS21" s="101">
        <v>0.89637863033345289</v>
      </c>
      <c r="HT21" s="101">
        <v>0.90448625180897257</v>
      </c>
      <c r="HU21" s="101">
        <v>0.91416034372428912</v>
      </c>
      <c r="HV21" s="101">
        <v>0.89637863033345289</v>
      </c>
      <c r="HW21" s="101">
        <v>0.90818272636454456</v>
      </c>
      <c r="HX21" s="101">
        <v>0.8926977325477593</v>
      </c>
      <c r="HY21" s="101">
        <v>0.90678273485672833</v>
      </c>
      <c r="HZ21" s="101">
        <v>0.90933891061198513</v>
      </c>
      <c r="IA21" s="101">
        <v>0.90645395213923141</v>
      </c>
      <c r="IB21" s="101">
        <v>0.92021717125241553</v>
      </c>
      <c r="IC21" s="101">
        <v>0.9030160736861117</v>
      </c>
      <c r="ID21" s="101">
        <v>0.88936321593738876</v>
      </c>
      <c r="IE21" s="101">
        <v>0.84217618325753751</v>
      </c>
      <c r="IF21" s="101">
        <v>0.83970106642035436</v>
      </c>
      <c r="IG21" s="101">
        <v>0.85142613878246054</v>
      </c>
      <c r="IH21" s="101">
        <v>0.84932903006624771</v>
      </c>
      <c r="II21" s="101">
        <v>0.83563131946185332</v>
      </c>
      <c r="IJ21" s="101">
        <v>0.81267777326290136</v>
      </c>
      <c r="IK21" s="101">
        <v>0.82528678715853754</v>
      </c>
      <c r="IL21" s="101">
        <v>0.82304526748971185</v>
      </c>
      <c r="IM21" s="101">
        <v>0.85309674117044876</v>
      </c>
      <c r="IN21" s="101">
        <v>0.82406262875978575</v>
      </c>
      <c r="IO21" s="101">
        <v>0.82061381913671427</v>
      </c>
      <c r="IP21" s="101">
        <v>0.84019492522265171</v>
      </c>
      <c r="IQ21" s="101">
        <v>0.84097216382137752</v>
      </c>
      <c r="IR21" s="101">
        <v>0.84767313723828097</v>
      </c>
      <c r="IS21" s="101">
        <v>0.86192035855886928</v>
      </c>
      <c r="IT21" s="101">
        <v>0.86221762372822908</v>
      </c>
      <c r="IU21" s="101">
        <v>0.8859750155045627</v>
      </c>
      <c r="IV21" s="101">
        <v>0.88300220750551872</v>
      </c>
      <c r="IW21" s="101">
        <v>0.89686098654708524</v>
      </c>
      <c r="IX21" s="101">
        <v>0.89437438511761014</v>
      </c>
      <c r="IY21" s="101">
        <v>0.89581653677326878</v>
      </c>
      <c r="IZ21" s="101">
        <v>0.95120327213925626</v>
      </c>
      <c r="JA21" s="101">
        <v>0.9283327144448571</v>
      </c>
      <c r="JB21" s="101">
        <v>0.95757923968208369</v>
      </c>
      <c r="JC21" s="101">
        <v>0.98125797272102844</v>
      </c>
      <c r="JD21" s="101">
        <v>0.99750623441396513</v>
      </c>
      <c r="JE21" s="101">
        <v>1.0171905197843556</v>
      </c>
      <c r="JF21" s="101">
        <v>1.0041168792047395</v>
      </c>
      <c r="JG21" s="101">
        <v>0.9688983625617672</v>
      </c>
      <c r="JH21" s="101">
        <v>0.93782237644190192</v>
      </c>
    </row>
    <row r="22" spans="1:268" ht="23.25" customHeight="1" x14ac:dyDescent="0.2">
      <c r="A22" s="22" t="s">
        <v>11</v>
      </c>
      <c r="B22" s="16" t="s">
        <v>27</v>
      </c>
      <c r="C22" s="78">
        <v>0.61804999999999999</v>
      </c>
      <c r="D22" s="13">
        <v>0.66857999999999995</v>
      </c>
      <c r="E22" s="79">
        <f>1/1.462</f>
        <v>0.6839945280437757</v>
      </c>
      <c r="F22" s="79">
        <f>1/1.4415</f>
        <v>0.69372181755116202</v>
      </c>
      <c r="G22" s="79">
        <f>1/1.4289</f>
        <v>0.69983903702148498</v>
      </c>
      <c r="H22" s="79">
        <f>1/1.4338</f>
        <v>0.69744734272562425</v>
      </c>
      <c r="I22" s="11">
        <v>0.7</v>
      </c>
      <c r="J22" s="79">
        <v>0.70760999999999996</v>
      </c>
      <c r="K22" s="79">
        <v>0.70116000000000001</v>
      </c>
      <c r="L22" s="79">
        <v>0.68615000000000004</v>
      </c>
      <c r="M22" s="79">
        <v>0.67828999999999995</v>
      </c>
      <c r="N22" s="79">
        <v>0.69584999999999997</v>
      </c>
      <c r="O22" s="79">
        <f>1/1.4257</f>
        <v>0.70140983376586941</v>
      </c>
      <c r="P22" s="13">
        <f>1/1.4497</f>
        <v>0.68979788921845897</v>
      </c>
      <c r="Q22" s="79">
        <f>1/1.4137</f>
        <v>0.7073636556553724</v>
      </c>
      <c r="R22" s="79">
        <f>1/1.4187</f>
        <v>0.70487065623458089</v>
      </c>
      <c r="S22" s="13">
        <f>1/1.4235</f>
        <v>0.70249385317878466</v>
      </c>
      <c r="T22" s="13">
        <f>1/1.4575</f>
        <v>0.68610634648370494</v>
      </c>
      <c r="U22" s="13">
        <f>1/1.4647</f>
        <v>0.68273366559705062</v>
      </c>
      <c r="V22" s="13">
        <f>1/1.528</f>
        <v>0.65445026178010468</v>
      </c>
      <c r="W22" s="13">
        <f>1/1.5699</f>
        <v>0.63698324734059486</v>
      </c>
      <c r="X22" s="13">
        <f>1/1.5457</f>
        <v>0.64695607168273273</v>
      </c>
      <c r="Y22" s="13">
        <f>1/1.5616</f>
        <v>0.64036885245901631</v>
      </c>
      <c r="Z22" s="13">
        <f>1/1.558</f>
        <v>0.64184852374839541</v>
      </c>
      <c r="AA22" s="13">
        <f>1/1.5495</f>
        <v>0.64536947402387868</v>
      </c>
      <c r="AB22" s="13">
        <f>1/1.6043</f>
        <v>0.62332481456086763</v>
      </c>
      <c r="AC22" s="13">
        <v>0.60460000000000003</v>
      </c>
      <c r="AD22" s="13">
        <f>1/1.5778</f>
        <v>0.63379389022689814</v>
      </c>
      <c r="AE22" s="13">
        <f>1/1.5743</f>
        <v>0.63520294734167571</v>
      </c>
      <c r="AF22" s="13">
        <f>1/1.596</f>
        <v>0.62656641604010022</v>
      </c>
      <c r="AG22" s="13">
        <f>1/1.6527</f>
        <v>0.6050704907121679</v>
      </c>
      <c r="AH22" s="13">
        <f>1/1.6528</f>
        <v>0.60503388189738627</v>
      </c>
      <c r="AI22" s="13">
        <f>1/1.616</f>
        <v>0.61881188118811881</v>
      </c>
      <c r="AJ22" s="13">
        <f>1/1.5782</f>
        <v>0.63363325307312124</v>
      </c>
      <c r="AK22" s="13">
        <f>1/1.666</f>
        <v>0.60024009603841544</v>
      </c>
      <c r="AL22" s="13">
        <f>1/1.6959</f>
        <v>0.58965740904534469</v>
      </c>
      <c r="AM22" s="13">
        <f>1/1.714</f>
        <v>0.58343057176196034</v>
      </c>
      <c r="AN22" s="13">
        <f>1/1.714</f>
        <v>0.58343057176196034</v>
      </c>
      <c r="AO22" s="13">
        <f>1/1.714</f>
        <v>0.58343057176196034</v>
      </c>
      <c r="AP22" s="13">
        <f>1/1.8612</f>
        <v>0.53728777133032457</v>
      </c>
      <c r="AQ22" s="13">
        <f>1/1.8275</f>
        <v>0.54719562243502051</v>
      </c>
      <c r="AR22" s="13">
        <f>1/1.7718</f>
        <v>0.56439778756067271</v>
      </c>
      <c r="AS22" s="13">
        <f>1/1.8347</f>
        <v>0.54504823676895409</v>
      </c>
      <c r="AT22" s="13">
        <f>1/1.8086</f>
        <v>0.55291385602123189</v>
      </c>
      <c r="AU22" s="10">
        <f>1/1.8239</f>
        <v>0.54827567300838864</v>
      </c>
      <c r="AV22" s="10">
        <f>1/1.796</f>
        <v>0.55679287305122493</v>
      </c>
      <c r="AW22" s="10">
        <f>1/1.8</f>
        <v>0.55555555555555558</v>
      </c>
      <c r="AX22" s="26">
        <f>1/1.8254</f>
        <v>0.54782513421715795</v>
      </c>
      <c r="AY22" s="26">
        <f>1/1.8919</f>
        <v>0.52856916327501458</v>
      </c>
      <c r="AZ22" s="26">
        <f>1/1.8832</f>
        <v>0.53101104502973662</v>
      </c>
      <c r="BA22" s="26">
        <f>1/1.8857</f>
        <v>0.53030704778066506</v>
      </c>
      <c r="BB22" s="26">
        <f>1/1.9185</f>
        <v>0.52124055251498569</v>
      </c>
      <c r="BC22" s="26">
        <f>1/1.8804</f>
        <v>0.53180174430972127</v>
      </c>
      <c r="BD22" s="26">
        <f>1/1.9004</f>
        <v>0.52620500947169013</v>
      </c>
      <c r="BE22" s="26">
        <f>1/1.822</f>
        <v>0.54884742041712398</v>
      </c>
      <c r="BF22" s="26">
        <f>1/1.8062</f>
        <v>0.55364854390432949</v>
      </c>
      <c r="BG22" s="26">
        <f>1/1.7552</f>
        <v>0.56973564266180488</v>
      </c>
      <c r="BH22" s="26">
        <f>1/1.7852</f>
        <v>0.5601613264620211</v>
      </c>
      <c r="BI22" s="26">
        <f>1/1.7601</f>
        <v>0.56814953695812742</v>
      </c>
      <c r="BJ22" s="26">
        <f>1/1.7825</f>
        <v>0.56100981767180924</v>
      </c>
      <c r="BK22" s="26">
        <f>1/1.7165</f>
        <v>0.58258083309059139</v>
      </c>
      <c r="BL22" s="26">
        <f>1/1.724</f>
        <v>0.58004640371229699</v>
      </c>
      <c r="BM22" s="26">
        <f>1/1.7679</f>
        <v>0.56564285310255102</v>
      </c>
      <c r="BN22" s="26">
        <f>1/1.7396</f>
        <v>0.57484479190618532</v>
      </c>
      <c r="BO22" s="26">
        <f>1/1.7461</f>
        <v>0.57270488517267049</v>
      </c>
      <c r="BP22" s="26">
        <f>1/1.8012</f>
        <v>0.55518543193426606</v>
      </c>
      <c r="BQ22" s="26">
        <f>1/1.8809</f>
        <v>0.53166037535222499</v>
      </c>
      <c r="BR22" s="26">
        <f>1/1.8273</f>
        <v>0.54725551359929958</v>
      </c>
      <c r="BS22" s="26">
        <f>1/1.8627</f>
        <v>0.53685510280775217</v>
      </c>
      <c r="BT22" s="26">
        <f>1/1.9049</f>
        <v>0.52496194025933118</v>
      </c>
      <c r="BU22" s="26">
        <f>1/1.8905</f>
        <v>0.52896059243586346</v>
      </c>
      <c r="BV22" s="26">
        <f>1/1.8912</f>
        <v>0.52876480541455162</v>
      </c>
      <c r="BW22" s="26">
        <f>1/1.9457</f>
        <v>0.51395384694454438</v>
      </c>
      <c r="BX22" s="26">
        <f>1/1.9611</f>
        <v>0.5099179032175819</v>
      </c>
      <c r="BY22" s="26">
        <f>1/1.9619</f>
        <v>0.50970997502421123</v>
      </c>
      <c r="BZ22" s="26">
        <v>0.50965801946893641</v>
      </c>
      <c r="CA22" s="26">
        <f>1/1.963</f>
        <v>0.50942435048395307</v>
      </c>
      <c r="CB22" s="26">
        <f>1/1.9938</f>
        <v>0.50155481994181961</v>
      </c>
      <c r="CC22" s="26">
        <f>1/1.9759</f>
        <v>0.5060984867655246</v>
      </c>
      <c r="CD22" s="26">
        <f>1/2.0019</f>
        <v>0.49952545082171934</v>
      </c>
      <c r="CE22" s="26">
        <f>1/2.0306</f>
        <v>0.49246528119767552</v>
      </c>
      <c r="CF22" s="26">
        <f>1/2.0133</f>
        <v>0.49669696518154272</v>
      </c>
      <c r="CG22" s="26">
        <f>1/2.0274</f>
        <v>0.49324257669922067</v>
      </c>
      <c r="CH22" s="26">
        <f>1/2.0604</f>
        <v>0.48534265191225007</v>
      </c>
      <c r="CI22" s="26">
        <f>1/2.0651</f>
        <v>0.48423805142608101</v>
      </c>
      <c r="CJ22" s="26">
        <f>1/1.9969</f>
        <v>0.50077620311482796</v>
      </c>
      <c r="CK22" s="26">
        <f>1/1.9864</f>
        <v>0.50342327829238831</v>
      </c>
      <c r="CL22" s="26">
        <f>1/1.9892</f>
        <v>0.50271465915946112</v>
      </c>
      <c r="CM22" s="26">
        <f>1/1.9942</f>
        <v>0.50145421722996686</v>
      </c>
      <c r="CN22" s="26">
        <f>1/1.9672</f>
        <v>0.50833672224481496</v>
      </c>
      <c r="CO22" s="26">
        <v>0.50660000000000005</v>
      </c>
      <c r="CP22" s="26">
        <f>1/1.9942</f>
        <v>0.50145421722996686</v>
      </c>
      <c r="CQ22" s="26">
        <f>1/1.9797</f>
        <v>0.50512703945042181</v>
      </c>
      <c r="CR22" s="26">
        <f>1/1.9797</f>
        <v>0.50512703945042181</v>
      </c>
      <c r="CS22" s="26">
        <f>1/1.8435</f>
        <v>0.54244643341470034</v>
      </c>
      <c r="CT22" s="26">
        <f>1/1.6434</f>
        <v>0.60849458439819881</v>
      </c>
      <c r="CU22" s="26">
        <f>1/1.5369</f>
        <v>0.65066042032663152</v>
      </c>
      <c r="CV22" s="26">
        <f>1/1.4448</f>
        <v>0.69213732004429673</v>
      </c>
      <c r="CW22" s="26">
        <f>1/1.4239</f>
        <v>0.70229650958634737</v>
      </c>
      <c r="CX22" s="26">
        <f>1/1.4261</f>
        <v>0.70121309866068304</v>
      </c>
      <c r="CY22" s="26">
        <f>1/1.4263</f>
        <v>0.70111477248825638</v>
      </c>
      <c r="CZ22" s="26">
        <f>1/1.4765</f>
        <v>0.67727734507280735</v>
      </c>
      <c r="DA22" s="26">
        <f>1/1.595</f>
        <v>0.62695924764890287</v>
      </c>
      <c r="DB22" s="26">
        <f>1/1.6601</f>
        <v>0.60237335100295164</v>
      </c>
      <c r="DC22" s="26">
        <f>1/1.6511</f>
        <v>0.60565683483738109</v>
      </c>
      <c r="DD22" s="26">
        <f>1/1.6277</f>
        <v>0.61436382625790997</v>
      </c>
      <c r="DE22" s="26">
        <f>1/1.5986</f>
        <v>0.62554735393469285</v>
      </c>
      <c r="DF22" s="26">
        <f>1/1.6557</f>
        <v>0.60397414990638398</v>
      </c>
      <c r="DG22" s="26">
        <f>1/1.6497</f>
        <v>0.60617081893677638</v>
      </c>
      <c r="DH22" s="26">
        <f>1/1.6072</f>
        <v>0.62220009955201594</v>
      </c>
      <c r="DI22" s="26">
        <f>1/1.6127</f>
        <v>0.62007812984436039</v>
      </c>
      <c r="DJ22" s="26">
        <f>1/1.5235</f>
        <v>0.6563833278634722</v>
      </c>
      <c r="DK22" s="26">
        <f>1/1.508</f>
        <v>0.66312997347480107</v>
      </c>
      <c r="DL22" s="26">
        <f>1/1.5241</f>
        <v>0.65612492618594576</v>
      </c>
      <c r="DM22" s="26">
        <f>1/1.4521</f>
        <v>0.68865780593623027</v>
      </c>
      <c r="DN22" s="26">
        <f>1/1.5048</f>
        <v>0.66454013822434876</v>
      </c>
      <c r="DO22" s="26">
        <f>1/1.5602</f>
        <v>0.64094346878605302</v>
      </c>
      <c r="DP22" s="26">
        <f>1/1.5457</f>
        <v>0.64695607168273273</v>
      </c>
      <c r="DQ22" s="26">
        <f>1/1.5807</f>
        <v>0.63263111279812745</v>
      </c>
      <c r="DR22" s="26">
        <f>1/1.5778</f>
        <v>0.63379389022689814</v>
      </c>
      <c r="DS22" s="26">
        <f>1/1.5558</f>
        <v>0.64275613832112088</v>
      </c>
      <c r="DT22" s="26">
        <f>1/1.5432</f>
        <v>0.64800414722654232</v>
      </c>
      <c r="DU22" s="26">
        <f>1/1.5829</f>
        <v>0.63175184787415506</v>
      </c>
      <c r="DV22" s="26">
        <f>1/1.6091</f>
        <v>0.62146541544963019</v>
      </c>
      <c r="DW22" s="26">
        <f>1/1.6073</f>
        <v>0.62216138866421955</v>
      </c>
      <c r="DX22" s="26">
        <f>1/1.6648</f>
        <v>0.60067275348390192</v>
      </c>
      <c r="DY22" s="26">
        <f>1/1.6497</f>
        <v>0.60617081893677638</v>
      </c>
      <c r="DZ22" s="26">
        <f>1/1.6067</f>
        <v>0.62239372627123923</v>
      </c>
      <c r="EA22" s="26">
        <f>1/1.636</f>
        <v>0.61124694376528121</v>
      </c>
      <c r="EB22" s="26">
        <f>1/1.631</f>
        <v>0.61312078479460452</v>
      </c>
      <c r="EC22" s="26">
        <f>1/1.5616</f>
        <v>0.64036885245901631</v>
      </c>
      <c r="ED22" s="26">
        <f>1/1.6079</f>
        <v>0.62192922445425702</v>
      </c>
      <c r="EE22" s="26">
        <f>1/1.5603</f>
        <v>0.6409023905659168</v>
      </c>
      <c r="EF22" s="26">
        <f>1/1.5411</f>
        <v>0.64888715852313283</v>
      </c>
      <c r="EG22" s="26">
        <f>1/1.5704</f>
        <v>0.63678043810494145</v>
      </c>
      <c r="EH22" s="26">
        <f>1/1.5917</f>
        <v>0.62825909405038638</v>
      </c>
      <c r="EI22" s="26">
        <f>1/1.5958</f>
        <v>0.62664494297531015</v>
      </c>
      <c r="EJ22" s="26">
        <f>1/1.6271</f>
        <v>0.6145903755147194</v>
      </c>
      <c r="EK22" s="26">
        <f>1/1.5466</f>
        <v>0.64657959394801501</v>
      </c>
      <c r="EL22" s="26">
        <f>1/1.552</f>
        <v>0.64432989690721643</v>
      </c>
      <c r="EM22" s="26">
        <f>1/1.5711</f>
        <v>0.63649672204188146</v>
      </c>
      <c r="EN22" s="26">
        <f>1/1.5786</f>
        <v>0.63347269732674527</v>
      </c>
      <c r="EO22" s="26">
        <f>1/1.623</f>
        <v>0.61614294516327783</v>
      </c>
      <c r="EP22" s="26">
        <f>1/1.603</f>
        <v>0.62383031815346224</v>
      </c>
      <c r="EQ22" s="26">
        <f>1/1.6037</f>
        <v>0.62355802207395405</v>
      </c>
      <c r="ER22" s="26">
        <f>1/1.6161</f>
        <v>0.61877359074314708</v>
      </c>
      <c r="ES22" s="26">
        <f>1/1.58</f>
        <v>0.63291139240506322</v>
      </c>
      <c r="ET22" s="26">
        <f>1/1.5163</f>
        <v>0.65950009892501482</v>
      </c>
      <c r="EU22" s="50">
        <f>1/1.5193</f>
        <v>0.658197854274995</v>
      </c>
      <c r="EV22" s="50">
        <f>1/1.5488</f>
        <v>0.64566115702479343</v>
      </c>
      <c r="EW22" s="50">
        <f>1/1.5227</f>
        <v>0.65672818020621271</v>
      </c>
      <c r="EX22" s="50">
        <f>1/1.5259</f>
        <v>0.65535094042859954</v>
      </c>
      <c r="EY22" s="50">
        <f>1/1.5241</f>
        <v>0.65612492618594576</v>
      </c>
      <c r="EZ22" s="50">
        <f>1/1.5502</f>
        <v>0.64507805444458777</v>
      </c>
      <c r="FA22" s="50">
        <f>1/1.6159</f>
        <v>0.61885017637230033</v>
      </c>
      <c r="FB22" s="50">
        <f>1/1.6029</f>
        <v>0.62386923700792318</v>
      </c>
      <c r="FC22" s="50">
        <f>1/1.6337</f>
        <v>0.61210748607455467</v>
      </c>
      <c r="FD22" s="57">
        <f>1/1.6493</f>
        <v>0.60631783180743348</v>
      </c>
      <c r="FE22" s="57">
        <f>1/1.6494</f>
        <v>0.60628107190493519</v>
      </c>
      <c r="FF22" s="57">
        <f>1/1.6687</f>
        <v>0.59926889195181876</v>
      </c>
      <c r="FG22" s="57">
        <f>1/1.6644</f>
        <v>0.60081711127132897</v>
      </c>
      <c r="FH22" s="57">
        <f>1/1.6824</f>
        <v>0.59438896814075137</v>
      </c>
      <c r="FI22" s="57">
        <f>1/1.672</f>
        <v>0.59808612440191389</v>
      </c>
      <c r="FJ22" s="57">
        <f>1/1.7034</f>
        <v>0.58706117177409889</v>
      </c>
      <c r="FK22" s="57">
        <f>1/1.6916</f>
        <v>0.59115630172617639</v>
      </c>
      <c r="FL22" s="57">
        <f>1/1.6589</f>
        <v>0.60280909036108266</v>
      </c>
      <c r="FM22" s="57">
        <f>1/1.6238</f>
        <v>0.61583938908732605</v>
      </c>
      <c r="FN22" s="57">
        <f>1/1.5995</f>
        <v>0.62519537355423571</v>
      </c>
      <c r="FO22" s="57">
        <f>1/1.572</f>
        <v>0.63613231552162852</v>
      </c>
      <c r="FP22" s="57">
        <f>1/1.5564</f>
        <v>0.64250835260858385</v>
      </c>
      <c r="FQ22" s="57">
        <f>1/1.5076</f>
        <v>0.66330591668877681</v>
      </c>
      <c r="FR22" s="57">
        <f>1/1.5424</f>
        <v>0.64834024896265563</v>
      </c>
      <c r="FS22" s="57">
        <f>1/1.4811</f>
        <v>0.67517385726824652</v>
      </c>
      <c r="FT22" s="57">
        <f>1/1.5428</f>
        <v>0.64817215452424171</v>
      </c>
      <c r="FU22" s="57">
        <f>1/1.5319</f>
        <v>0.65278412429009725</v>
      </c>
      <c r="FV22" s="57">
        <f>1/1.5733</f>
        <v>0.63560668658234287</v>
      </c>
      <c r="FW22" s="57">
        <f>1/1.5608</f>
        <v>0.6406970784213224</v>
      </c>
      <c r="FX22" s="57">
        <f>1/1.5414</f>
        <v>0.64876086674451794</v>
      </c>
      <c r="FY22" s="57">
        <f>1/1.5153</f>
        <v>0.65993532633801888</v>
      </c>
      <c r="FZ22" s="57">
        <f>1/1.5327</f>
        <v>0.6524434005350036</v>
      </c>
      <c r="GA22" s="57">
        <f>1/1.5037</f>
        <v>0.66502626853760727</v>
      </c>
      <c r="GB22" s="57">
        <f>1/1.4816</f>
        <v>0.67494600431965446</v>
      </c>
      <c r="GC22" s="57">
        <f>1/1.4353</f>
        <v>0.6967184560719013</v>
      </c>
      <c r="GD22" s="57">
        <f>1/1.386</f>
        <v>0.72150072150072153</v>
      </c>
      <c r="GE22" s="57">
        <f>1/1.4372</f>
        <v>0.69579738380183687</v>
      </c>
      <c r="GF22" s="57">
        <f>1/1.4614</f>
        <v>0.68427535240180648</v>
      </c>
      <c r="GG22" s="57">
        <f>1/1.4641</f>
        <v>0.68301345536507074</v>
      </c>
      <c r="GH22" s="57">
        <f>1/1.344</f>
        <v>0.74404761904761896</v>
      </c>
      <c r="GI22" s="57">
        <f>1/1.3164</f>
        <v>0.75964752354907317</v>
      </c>
      <c r="GJ22" s="57">
        <f>1/1.3085</f>
        <v>0.76423385555980128</v>
      </c>
      <c r="GK22" s="57">
        <f>1/1.3041</f>
        <v>0.76681236101525951</v>
      </c>
      <c r="GL22" s="57">
        <f>1/1.219</f>
        <v>0.8203445447087776</v>
      </c>
      <c r="GM22" s="57">
        <f>1/1.2491</f>
        <v>0.80057641501881349</v>
      </c>
      <c r="GN22" s="57">
        <f>1/1.2286</f>
        <v>0.81393455966140327</v>
      </c>
      <c r="GO22" s="57">
        <f>1/1.2497</f>
        <v>0.80019204609106187</v>
      </c>
      <c r="GP22" s="57">
        <f>1/1.2439</f>
        <v>0.80392314494734307</v>
      </c>
      <c r="GQ22" s="57">
        <f>1/1.2477</f>
        <v>0.80147471347278987</v>
      </c>
      <c r="GR22" s="57">
        <f>1/1.2895</f>
        <v>0.7754943776657619</v>
      </c>
      <c r="GS22" s="57">
        <f>1/1.2812</f>
        <v>0.78051826412738068</v>
      </c>
      <c r="GT22" s="57">
        <f>1/1.3008</f>
        <v>0.76875768757687579</v>
      </c>
      <c r="GU22" s="57">
        <f>1/1.314</f>
        <v>0.76103500761035003</v>
      </c>
      <c r="GV22" s="57">
        <f>1/1.2915</f>
        <v>0.77429345722028642</v>
      </c>
      <c r="GW22" s="57">
        <f>1/1.3429</f>
        <v>0.74465708541216769</v>
      </c>
      <c r="GX22" s="57">
        <f>1/1.3208</f>
        <v>0.75711689884918232</v>
      </c>
      <c r="GY22" s="57">
        <f>1/1.3411</f>
        <v>0.74565655059279701</v>
      </c>
      <c r="GZ22" s="57">
        <f>1/1.3441</f>
        <v>0.74399226248047012</v>
      </c>
      <c r="HA22" s="57">
        <f>1/1.4075</f>
        <v>0.71047957371225579</v>
      </c>
      <c r="HB22" s="57">
        <f>1/1.3901</f>
        <v>0.71937270699949651</v>
      </c>
      <c r="HC22" s="57">
        <f>1/1.4023</f>
        <v>0.71311416957854945</v>
      </c>
      <c r="HD22" s="57">
        <f>1/1.3771</f>
        <v>0.7261636772928618</v>
      </c>
      <c r="HE22" s="57">
        <f>1/1.328</f>
        <v>0.75301204819277101</v>
      </c>
      <c r="HF22" s="57">
        <f>1/1.308</f>
        <v>0.76452599388379205</v>
      </c>
      <c r="HG22" s="57">
        <f>1/1.3137</f>
        <v>0.76120879957372301</v>
      </c>
      <c r="HH22" s="57">
        <f>1/1.3008</f>
        <v>0.76875768757687579</v>
      </c>
      <c r="HI22" s="57">
        <f>1/1.3076</f>
        <v>0.76475986540226359</v>
      </c>
      <c r="HJ22" s="57">
        <f>1/1.2709</f>
        <v>0.78684396884097885</v>
      </c>
      <c r="HK22" s="93">
        <v>0.7822277847309137</v>
      </c>
      <c r="HL22" s="93">
        <v>0.78808416738907716</v>
      </c>
      <c r="HM22" s="93">
        <v>0.76202087937209473</v>
      </c>
      <c r="HN22" s="93">
        <v>0.75091987684914019</v>
      </c>
      <c r="HO22" s="93">
        <v>0.76569678407350683</v>
      </c>
      <c r="HP22" s="93">
        <v>0.77333539556105491</v>
      </c>
      <c r="HQ22" s="93">
        <v>0.79295852826897151</v>
      </c>
      <c r="HR22" s="93">
        <v>0.78895463510848118</v>
      </c>
      <c r="HS22" s="93">
        <v>0.82257135806531212</v>
      </c>
      <c r="HT22" s="93">
        <v>0.8207485226526593</v>
      </c>
      <c r="HU22" s="93">
        <v>0.81347108110306676</v>
      </c>
      <c r="HV22" s="93">
        <v>0.77489345215032934</v>
      </c>
      <c r="HW22" s="93">
        <v>0.77465334262917351</v>
      </c>
      <c r="HX22" s="93">
        <v>0.76260199801723483</v>
      </c>
      <c r="HY22" s="93">
        <v>0.76400030560012222</v>
      </c>
      <c r="HZ22" s="93">
        <v>0.7759155803848542</v>
      </c>
      <c r="IA22" s="93">
        <v>0.80808080808080807</v>
      </c>
      <c r="IB22" s="93">
        <v>0.8027614995584812</v>
      </c>
      <c r="IC22" s="93">
        <v>0.81208380704888738</v>
      </c>
      <c r="ID22" s="93">
        <v>0.81241368104638878</v>
      </c>
      <c r="IE22" s="93">
        <v>0.76231132794633327</v>
      </c>
      <c r="IF22" s="93">
        <v>0.74911978425350212</v>
      </c>
      <c r="IG22" s="93">
        <v>0.77736318407960203</v>
      </c>
      <c r="IH22" s="93">
        <v>0.76769537847382163</v>
      </c>
      <c r="II22" s="93">
        <v>0.75030012004801927</v>
      </c>
      <c r="IJ22" s="93">
        <v>0.73286918285086111</v>
      </c>
      <c r="IK22" s="93">
        <v>0.72875674099985421</v>
      </c>
      <c r="IL22" s="93">
        <v>0.71561471303850011</v>
      </c>
      <c r="IM22" s="93">
        <v>0.727749072119933</v>
      </c>
      <c r="IN22" s="93">
        <v>0.71664038985237211</v>
      </c>
      <c r="IO22" s="93">
        <v>0.70546737213403876</v>
      </c>
      <c r="IP22" s="93">
        <v>0.72191741264799303</v>
      </c>
      <c r="IQ22" s="93">
        <v>0.71602463124731486</v>
      </c>
      <c r="IR22" s="93">
        <v>0.72684983282453852</v>
      </c>
      <c r="IS22" s="93">
        <v>0.74437993151704629</v>
      </c>
      <c r="IT22" s="93">
        <v>0.72817301390810463</v>
      </c>
      <c r="IU22" s="93">
        <v>0.75125835774923</v>
      </c>
      <c r="IV22" s="93">
        <v>0.74085049636983247</v>
      </c>
      <c r="IW22" s="93">
        <v>0.74604595643091609</v>
      </c>
      <c r="IX22" s="93">
        <v>0.74799910240107714</v>
      </c>
      <c r="IY22" s="93">
        <v>0.76126674786845305</v>
      </c>
      <c r="IZ22" s="93">
        <v>0.80128205128205132</v>
      </c>
      <c r="JA22" s="93">
        <v>0.7908264136022144</v>
      </c>
      <c r="JB22" s="93">
        <v>0.8245382585751978</v>
      </c>
      <c r="JC22" s="93">
        <v>0.82155767334866903</v>
      </c>
      <c r="JD22" s="93">
        <v>0.85755938598747972</v>
      </c>
      <c r="JE22" s="93">
        <v>0.89453439484748198</v>
      </c>
      <c r="JF22" s="93">
        <v>0.86229197206174013</v>
      </c>
      <c r="JG22" s="93">
        <v>0.83731055848614255</v>
      </c>
      <c r="JH22" s="93">
        <v>0.82953131480713393</v>
      </c>
    </row>
    <row r="23" spans="1:268" ht="23.25" customHeight="1" x14ac:dyDescent="0.2">
      <c r="A23" s="43" t="s">
        <v>15</v>
      </c>
      <c r="B23" s="16" t="s">
        <v>28</v>
      </c>
      <c r="C23" s="80">
        <v>1.5963000000000001</v>
      </c>
      <c r="D23" s="13">
        <v>1.6377999999999999</v>
      </c>
      <c r="E23" s="13">
        <v>1.6459999999999999</v>
      </c>
      <c r="F23" s="13">
        <v>1.6780999999999999</v>
      </c>
      <c r="G23" s="13">
        <v>1.726</v>
      </c>
      <c r="H23" s="13">
        <v>1.7248000000000001</v>
      </c>
      <c r="I23" s="13">
        <v>1.78</v>
      </c>
      <c r="J23" s="13">
        <v>1.7674000000000001</v>
      </c>
      <c r="K23" s="13">
        <v>1.7267999999999999</v>
      </c>
      <c r="L23" s="13">
        <v>1.6513</v>
      </c>
      <c r="M23" s="13">
        <v>1.6005</v>
      </c>
      <c r="N23" s="13">
        <v>1.6512</v>
      </c>
      <c r="O23" s="13">
        <v>1.6566000000000001</v>
      </c>
      <c r="P23" s="13">
        <v>1.6747000000000001</v>
      </c>
      <c r="Q23" s="13">
        <v>1.7089000000000001</v>
      </c>
      <c r="R23" s="13">
        <v>1.7053</v>
      </c>
      <c r="S23" s="13">
        <v>1.6830000000000001</v>
      </c>
      <c r="T23" s="13">
        <v>1.623</v>
      </c>
      <c r="U23" s="13">
        <v>1.5620000000000001</v>
      </c>
      <c r="V23" s="13">
        <v>1.4899</v>
      </c>
      <c r="W23" s="13">
        <v>1.48</v>
      </c>
      <c r="X23" s="13">
        <v>1.4950000000000001</v>
      </c>
      <c r="Y23" s="13">
        <v>1.4917</v>
      </c>
      <c r="Z23" s="13">
        <v>1.4895</v>
      </c>
      <c r="AA23" s="13">
        <v>1.4854000000000001</v>
      </c>
      <c r="AB23" s="13">
        <v>1.3929</v>
      </c>
      <c r="AC23" s="13">
        <v>1.3555999999999999</v>
      </c>
      <c r="AD23" s="13">
        <v>1.3607</v>
      </c>
      <c r="AE23" s="13">
        <v>1.3665</v>
      </c>
      <c r="AF23" s="13">
        <v>1.3561000000000001</v>
      </c>
      <c r="AG23" s="13">
        <v>1.2848999999999999</v>
      </c>
      <c r="AH23" s="13">
        <v>1.3499000000000001</v>
      </c>
      <c r="AI23" s="13">
        <v>1.3627</v>
      </c>
      <c r="AJ23" s="13">
        <v>1.4117</v>
      </c>
      <c r="AK23" s="13">
        <v>1.3234999999999999</v>
      </c>
      <c r="AL23" s="13">
        <v>1.3302</v>
      </c>
      <c r="AM23" s="13">
        <v>1.2986</v>
      </c>
      <c r="AN23" s="13">
        <v>1.2986</v>
      </c>
      <c r="AO23" s="13">
        <v>1.2986</v>
      </c>
      <c r="AP23" s="13">
        <v>1.2664</v>
      </c>
      <c r="AQ23" s="13">
        <v>1.28</v>
      </c>
      <c r="AR23" s="13">
        <v>1.2916000000000001</v>
      </c>
      <c r="AS23" s="13">
        <v>1.2514000000000001</v>
      </c>
      <c r="AT23" s="13">
        <v>1.2645</v>
      </c>
      <c r="AU23" s="13">
        <v>1.2751999999999999</v>
      </c>
      <c r="AV23" s="13">
        <v>1.2781</v>
      </c>
      <c r="AW23" s="13">
        <v>1.2596000000000001</v>
      </c>
      <c r="AX23" s="27">
        <v>1.2753000000000001</v>
      </c>
      <c r="AY23" s="27">
        <v>1.1432</v>
      </c>
      <c r="AZ23" s="27">
        <v>1.1680999999999999</v>
      </c>
      <c r="BA23" s="27">
        <v>1.1891</v>
      </c>
      <c r="BB23" s="27">
        <v>1.1639999999999999</v>
      </c>
      <c r="BC23" s="27">
        <v>1.1981999999999999</v>
      </c>
      <c r="BD23" s="27">
        <v>1.1924999999999999</v>
      </c>
      <c r="BE23" s="27">
        <v>1.2353000000000001</v>
      </c>
      <c r="BF23" s="27">
        <v>1.2806</v>
      </c>
      <c r="BG23" s="27">
        <v>1.2883</v>
      </c>
      <c r="BH23" s="27">
        <v>1.2682</v>
      </c>
      <c r="BI23" s="27">
        <v>1.2938000000000001</v>
      </c>
      <c r="BJ23" s="27">
        <v>1.2726999999999999</v>
      </c>
      <c r="BK23" s="27">
        <v>1.3151999999999999</v>
      </c>
      <c r="BL23" s="27">
        <v>1.3141</v>
      </c>
      <c r="BM23" s="27">
        <v>1.2866</v>
      </c>
      <c r="BN23" s="27">
        <v>1.3224</v>
      </c>
      <c r="BO23" s="27">
        <v>1.2970999999999999</v>
      </c>
      <c r="BP23" s="27">
        <v>1.2598</v>
      </c>
      <c r="BQ23" s="27">
        <v>1.2128000000000001</v>
      </c>
      <c r="BR23" s="27">
        <v>1.2364999999999999</v>
      </c>
      <c r="BS23" s="27">
        <v>1.2324999999999999</v>
      </c>
      <c r="BT23" s="27">
        <v>1.2277</v>
      </c>
      <c r="BU23" s="27">
        <v>1.2426999999999999</v>
      </c>
      <c r="BV23" s="27">
        <v>1.2524999999999999</v>
      </c>
      <c r="BW23" s="27">
        <v>1.21</v>
      </c>
      <c r="BX23" s="27">
        <v>1.2224999999999999</v>
      </c>
      <c r="BY23" s="27">
        <v>1.252</v>
      </c>
      <c r="BZ23" s="27">
        <v>1.2191000000000001</v>
      </c>
      <c r="CA23" s="27">
        <v>1.2176</v>
      </c>
      <c r="CB23" s="27">
        <v>1.2059</v>
      </c>
      <c r="CC23" s="27">
        <v>1.2255</v>
      </c>
      <c r="CD23" s="27">
        <v>1.2322</v>
      </c>
      <c r="CE23" s="27">
        <v>1.202</v>
      </c>
      <c r="CF23" s="27">
        <v>1.2021999999999999</v>
      </c>
      <c r="CG23" s="27">
        <v>1.1727000000000001</v>
      </c>
      <c r="CH23" s="27">
        <v>1.1653</v>
      </c>
      <c r="CI23" s="27">
        <v>1.1167</v>
      </c>
      <c r="CJ23" s="27">
        <v>1.1248</v>
      </c>
      <c r="CK23" s="27">
        <v>1.0843</v>
      </c>
      <c r="CL23" s="27">
        <v>1.0515000000000001</v>
      </c>
      <c r="CM23" s="27">
        <v>0.99929999999999997</v>
      </c>
      <c r="CN23" s="27">
        <v>1.0375000000000001</v>
      </c>
      <c r="CO23" s="27">
        <v>1.0495000000000001</v>
      </c>
      <c r="CP23" s="27">
        <v>1.0187999999999999</v>
      </c>
      <c r="CQ23" s="40">
        <v>1.0477000000000001</v>
      </c>
      <c r="CR23" s="40">
        <v>1.0978000000000001</v>
      </c>
      <c r="CS23" s="40">
        <v>1.0841000000000001</v>
      </c>
      <c r="CT23" s="40">
        <v>1.1268</v>
      </c>
      <c r="CU23" s="40">
        <v>1.2012</v>
      </c>
      <c r="CV23" s="40">
        <v>1.056</v>
      </c>
      <c r="CW23" s="40">
        <v>1.1549</v>
      </c>
      <c r="CX23" s="40">
        <v>1.1667000000000001</v>
      </c>
      <c r="CY23" s="40">
        <v>1.1499999999999999</v>
      </c>
      <c r="CZ23" s="40">
        <v>1.1358999999999999</v>
      </c>
      <c r="DA23" s="40">
        <v>1.0828</v>
      </c>
      <c r="DB23" s="40">
        <v>1.0811999999999999</v>
      </c>
      <c r="DC23" s="40">
        <v>1.0867</v>
      </c>
      <c r="DD23" s="40">
        <v>1.0595000000000001</v>
      </c>
      <c r="DE23" s="40">
        <v>1.0353000000000001</v>
      </c>
      <c r="DF23" s="40">
        <v>1.0182</v>
      </c>
      <c r="DG23" s="40">
        <v>1.0055000000000001</v>
      </c>
      <c r="DH23" s="40">
        <v>1.0354000000000001</v>
      </c>
      <c r="DI23" s="40">
        <v>1.0525</v>
      </c>
      <c r="DJ23" s="40">
        <v>1.0810999999999999</v>
      </c>
      <c r="DK23" s="40">
        <v>1.0658000000000001</v>
      </c>
      <c r="DL23" s="40">
        <v>1.0858000000000001</v>
      </c>
      <c r="DM23" s="40">
        <v>1.1553</v>
      </c>
      <c r="DN23" s="40">
        <v>1.083</v>
      </c>
      <c r="DO23" s="40">
        <v>1.0404</v>
      </c>
      <c r="DP23" s="40">
        <v>1.0258</v>
      </c>
      <c r="DQ23" s="40">
        <v>0.97640000000000005</v>
      </c>
      <c r="DR23" s="40">
        <v>0.98939999999999995</v>
      </c>
      <c r="DS23" s="40">
        <v>1.0005999999999999</v>
      </c>
      <c r="DT23" s="40">
        <v>0.93440000000000001</v>
      </c>
      <c r="DU23" s="40">
        <v>0.76959999999999995</v>
      </c>
      <c r="DV23" s="40">
        <v>0.92800000000000005</v>
      </c>
      <c r="DW23" s="40">
        <v>0.91949999999999998</v>
      </c>
      <c r="DX23" s="40">
        <v>0.87280000000000002</v>
      </c>
      <c r="DY23" s="40">
        <v>0.84930000000000005</v>
      </c>
      <c r="DZ23" s="40">
        <v>0.83340000000000003</v>
      </c>
      <c r="EA23" s="40">
        <v>0.80159999999999998</v>
      </c>
      <c r="EB23" s="40">
        <v>0.82099999999999995</v>
      </c>
      <c r="EC23" s="40">
        <v>0.89680000000000004</v>
      </c>
      <c r="ED23" s="40">
        <v>0.86099999999999999</v>
      </c>
      <c r="EE23" s="40">
        <v>0.92100000000000004</v>
      </c>
      <c r="EF23" s="40">
        <v>0.94040000000000001</v>
      </c>
      <c r="EG23" s="40">
        <v>0.91769999999999996</v>
      </c>
      <c r="EH23" s="40">
        <v>0.89449999999999996</v>
      </c>
      <c r="EI23" s="40">
        <v>0.9052</v>
      </c>
      <c r="EJ23" s="40">
        <v>0.90759999999999996</v>
      </c>
      <c r="EK23" s="40">
        <v>0.97150000000000003</v>
      </c>
      <c r="EL23" s="40">
        <v>0.96540000000000004</v>
      </c>
      <c r="EM23" s="40">
        <v>0.97960000000000003</v>
      </c>
      <c r="EN23" s="40">
        <v>0.9597</v>
      </c>
      <c r="EO23" s="40">
        <v>0.93730000000000002</v>
      </c>
      <c r="EP23" s="40">
        <v>0.93610000000000004</v>
      </c>
      <c r="EQ23" s="40">
        <v>0.92800000000000005</v>
      </c>
      <c r="ER23" s="40">
        <v>0.91239999999999999</v>
      </c>
      <c r="ES23" s="40">
        <v>0.91069999999999995</v>
      </c>
      <c r="ET23" s="40">
        <v>0.92879999999999996</v>
      </c>
      <c r="EU23" s="40">
        <v>0.94979999999999998</v>
      </c>
      <c r="EV23" s="40">
        <v>0.93740000000000001</v>
      </c>
      <c r="EW23" s="40">
        <v>0.95369999999999999</v>
      </c>
      <c r="EX23" s="40">
        <v>0.94469999999999998</v>
      </c>
      <c r="EY23" s="40">
        <v>0.92959999999999998</v>
      </c>
      <c r="EZ23" s="40">
        <v>0.93140000000000001</v>
      </c>
      <c r="FA23" s="40">
        <v>0.90559999999999996</v>
      </c>
      <c r="FB23" s="40">
        <v>0.89990000000000003</v>
      </c>
      <c r="FC23" s="40">
        <v>0.90610000000000002</v>
      </c>
      <c r="FD23" s="63">
        <v>0.88739999999999997</v>
      </c>
      <c r="FE23" s="63">
        <v>0.90280000000000005</v>
      </c>
      <c r="FF23" s="63">
        <v>0.88859999999999995</v>
      </c>
      <c r="FG23" s="63">
        <v>0.88700000000000001</v>
      </c>
      <c r="FH23" s="63">
        <v>0.88339999999999996</v>
      </c>
      <c r="FI23" s="63">
        <v>0.89800000000000002</v>
      </c>
      <c r="FJ23" s="63">
        <v>0.8911</v>
      </c>
      <c r="FK23" s="63">
        <v>0.90849999999999997</v>
      </c>
      <c r="FL23" s="63">
        <v>0.91500000000000004</v>
      </c>
      <c r="FM23" s="63">
        <v>0.95120000000000005</v>
      </c>
      <c r="FN23" s="63">
        <v>0.95630000000000004</v>
      </c>
      <c r="FO23" s="63">
        <v>0.96499999999999997</v>
      </c>
      <c r="FP23" s="63">
        <v>0.98729999999999996</v>
      </c>
      <c r="FQ23" s="63">
        <v>0.92230000000000001</v>
      </c>
      <c r="FR23" s="63">
        <v>0.95340000000000003</v>
      </c>
      <c r="FS23" s="63">
        <v>0.9667</v>
      </c>
      <c r="FT23" s="63">
        <v>0.93989999999999996</v>
      </c>
      <c r="FU23" s="63">
        <v>0.94299999999999995</v>
      </c>
      <c r="FV23" s="63">
        <v>0.92579999999999996</v>
      </c>
      <c r="FW23" s="63">
        <v>0.9677</v>
      </c>
      <c r="FX23" s="63">
        <v>0.96099999999999997</v>
      </c>
      <c r="FY23" s="63">
        <v>0.97109999999999996</v>
      </c>
      <c r="FZ23" s="63">
        <v>0.98909999999999998</v>
      </c>
      <c r="GA23" s="63">
        <v>1.0299</v>
      </c>
      <c r="GB23" s="63">
        <v>0.9879</v>
      </c>
      <c r="GC23" s="63">
        <v>1.0141</v>
      </c>
      <c r="GD23" s="63">
        <v>0.99609999999999999</v>
      </c>
      <c r="GE23" s="63">
        <v>0.96499999999999997</v>
      </c>
      <c r="GF23" s="63">
        <v>0.96619999999999995</v>
      </c>
      <c r="GG23" s="63">
        <v>0.99160000000000004</v>
      </c>
      <c r="GH23" s="63">
        <v>0.97960000000000003</v>
      </c>
      <c r="GI23" s="63">
        <v>0.97970000000000002</v>
      </c>
      <c r="GJ23" s="63">
        <v>0.98340000000000005</v>
      </c>
      <c r="GK23" s="63">
        <v>0.97070000000000001</v>
      </c>
      <c r="GL23" s="63">
        <v>0.98819999999999997</v>
      </c>
      <c r="GM23" s="63">
        <v>1.0113000000000001</v>
      </c>
      <c r="GN23" s="63">
        <v>1.0166999999999999</v>
      </c>
      <c r="GO23" s="63">
        <v>0.99470000000000003</v>
      </c>
      <c r="GP23" s="63">
        <v>1.0095000000000001</v>
      </c>
      <c r="GQ23" s="63">
        <v>1.0007999999999999</v>
      </c>
      <c r="GR23" s="63">
        <v>0.99429999999999996</v>
      </c>
      <c r="GS23" s="63">
        <v>0.97570000000000001</v>
      </c>
      <c r="GT23" s="63">
        <v>0.95620000000000005</v>
      </c>
      <c r="GU23" s="63">
        <v>0.96899999999999997</v>
      </c>
      <c r="GV23" s="63">
        <v>0.96389999999999998</v>
      </c>
      <c r="GW23" s="63">
        <v>0.97060000000000002</v>
      </c>
      <c r="GX23" s="63">
        <v>0.995</v>
      </c>
      <c r="GY23" s="63">
        <v>0.98450000000000004</v>
      </c>
      <c r="GZ23" s="63">
        <v>0.97829999999999995</v>
      </c>
      <c r="HA23" s="63">
        <v>0.93720000000000003</v>
      </c>
      <c r="HB23" s="63">
        <v>0.9395</v>
      </c>
      <c r="HC23" s="63">
        <v>0.95589999999999997</v>
      </c>
      <c r="HD23" s="57">
        <v>0.98829999999999996</v>
      </c>
      <c r="HE23" s="57">
        <v>0.98829999999999996</v>
      </c>
      <c r="HF23" s="57">
        <v>0.99719999999999998</v>
      </c>
      <c r="HG23" s="57">
        <v>0.98780000000000001</v>
      </c>
      <c r="HH23" s="57">
        <v>0.96870000000000001</v>
      </c>
      <c r="HI23" s="57">
        <v>0.97729999999999995</v>
      </c>
      <c r="HJ23" s="57">
        <v>1.0053000000000001</v>
      </c>
      <c r="HK23" s="93">
        <v>0.99619999999999997</v>
      </c>
      <c r="HL23" s="93">
        <v>0.98380000000000001</v>
      </c>
      <c r="HM23" s="93">
        <v>0.99339999999999995</v>
      </c>
      <c r="HN23" s="93">
        <v>1.0005999999999999</v>
      </c>
      <c r="HO23" s="93">
        <v>0.99470000000000003</v>
      </c>
      <c r="HP23" s="93">
        <v>1.0195000000000001</v>
      </c>
      <c r="HQ23" s="93">
        <v>1.0065</v>
      </c>
      <c r="HR23" s="93">
        <v>0.97599999999999998</v>
      </c>
      <c r="HS23" s="93">
        <v>0.9899</v>
      </c>
      <c r="HT23" s="93">
        <v>0.98670000000000002</v>
      </c>
      <c r="HU23" s="93">
        <v>0.9909</v>
      </c>
      <c r="HV23" s="93">
        <v>0.98860000000000003</v>
      </c>
      <c r="HW23" s="93">
        <v>0.99870000000000003</v>
      </c>
      <c r="HX23" s="93">
        <v>0.96870000000000001</v>
      </c>
      <c r="HY23" s="93">
        <v>0.9698</v>
      </c>
      <c r="HZ23" s="93">
        <v>0.96879999999999999</v>
      </c>
      <c r="IA23" s="93">
        <v>0.95989999999999998</v>
      </c>
      <c r="IB23" s="93">
        <v>0.97470000000000001</v>
      </c>
      <c r="IC23" s="93">
        <v>0.96440000000000003</v>
      </c>
      <c r="ID23" s="93">
        <v>0.95130000000000003</v>
      </c>
      <c r="IE23" s="93">
        <v>0.90800000000000003</v>
      </c>
      <c r="IF23" s="93">
        <v>0.90359999999999996</v>
      </c>
      <c r="IG23" s="93">
        <v>0.91969999999999996</v>
      </c>
      <c r="IH23" s="93">
        <v>0.90939999999999999</v>
      </c>
      <c r="II23" s="93">
        <v>0.90410000000000001</v>
      </c>
      <c r="IJ23" s="93">
        <v>0.88129999999999997</v>
      </c>
      <c r="IK23" s="93">
        <v>0.88859999999999995</v>
      </c>
      <c r="IL23" s="93">
        <v>0.90620000000000001</v>
      </c>
      <c r="IM23" s="93">
        <v>0.94210000000000005</v>
      </c>
      <c r="IN23" s="93">
        <v>0.90880000000000005</v>
      </c>
      <c r="IO23" s="93">
        <v>0.90029999999999999</v>
      </c>
      <c r="IP23" s="93">
        <v>0.92110000000000003</v>
      </c>
      <c r="IQ23" s="93">
        <v>0.90549999999999997</v>
      </c>
      <c r="IR23" s="93">
        <v>0.91710000000000003</v>
      </c>
      <c r="IS23" s="93">
        <v>0.93400000000000005</v>
      </c>
      <c r="IT23" s="93">
        <v>0.91830000000000001</v>
      </c>
      <c r="IU23" s="93">
        <v>0.92310000000000003</v>
      </c>
      <c r="IV23" s="93">
        <v>0.91359999999999997</v>
      </c>
      <c r="IW23" s="93">
        <v>0.93110000000000004</v>
      </c>
      <c r="IX23" s="93">
        <v>0.92720000000000002</v>
      </c>
      <c r="IY23" s="93">
        <v>0.9234</v>
      </c>
      <c r="IZ23" s="93">
        <v>0.97109999999999996</v>
      </c>
      <c r="JA23" s="93">
        <v>0.95820000000000005</v>
      </c>
      <c r="JB23" s="93">
        <v>0.9546</v>
      </c>
      <c r="JC23" s="93">
        <v>0.95440000000000003</v>
      </c>
      <c r="JD23" s="93">
        <v>0.9738</v>
      </c>
      <c r="JE23" s="93">
        <v>0.97460000000000002</v>
      </c>
      <c r="JF23" s="93">
        <v>0.99609999999999999</v>
      </c>
      <c r="JG23" s="93">
        <v>0.95430000000000004</v>
      </c>
      <c r="JH23" s="93">
        <v>0.92420000000000002</v>
      </c>
    </row>
    <row r="24" spans="1:268" ht="3" customHeight="1" thickBot="1" x14ac:dyDescent="0.25">
      <c r="A24" s="44"/>
      <c r="B24" s="44"/>
      <c r="C24" s="44"/>
      <c r="D24" s="42"/>
      <c r="E24" s="42"/>
      <c r="F24" s="42"/>
      <c r="G24" s="42"/>
      <c r="H24" s="42"/>
      <c r="I24" s="81"/>
      <c r="J24" s="81"/>
      <c r="K24" s="81"/>
      <c r="L24" s="81"/>
      <c r="M24" s="81"/>
      <c r="N24" s="81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  <c r="IP24" s="65"/>
      <c r="IQ24" s="65"/>
      <c r="IR24" s="65"/>
      <c r="IS24" s="65"/>
      <c r="IT24" s="65"/>
      <c r="IU24" s="65"/>
      <c r="IV24" s="65"/>
      <c r="IW24" s="65"/>
      <c r="IX24" s="65"/>
      <c r="IY24" s="65"/>
      <c r="IZ24" s="65"/>
      <c r="JA24" s="65"/>
      <c r="JB24" s="65"/>
      <c r="JC24" s="65"/>
      <c r="JD24" s="65"/>
      <c r="JE24" s="65"/>
      <c r="JF24" s="65"/>
      <c r="JG24" s="65"/>
      <c r="JH24" s="65"/>
    </row>
    <row r="25" spans="1:268" ht="15.75" customHeight="1" thickTop="1" x14ac:dyDescent="0.2">
      <c r="A25" s="7" t="s">
        <v>34</v>
      </c>
      <c r="B25" s="1"/>
      <c r="C25" s="1"/>
      <c r="D25" s="1"/>
      <c r="E25" s="1"/>
      <c r="F25" s="1"/>
      <c r="G25" s="1"/>
      <c r="H25" s="1"/>
      <c r="I25" s="18"/>
      <c r="J25" s="18"/>
      <c r="K25" s="18"/>
      <c r="L25" s="18"/>
      <c r="M25" s="18"/>
      <c r="N25" s="18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Y25" s="1"/>
      <c r="AZ25" s="1"/>
      <c r="BB25" s="1"/>
      <c r="BC25" s="1"/>
      <c r="BG25" s="1"/>
      <c r="BH25" s="1"/>
      <c r="BI25" s="1" t="s">
        <v>40</v>
      </c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</row>
    <row r="26" spans="1:268" ht="14.25" customHeight="1" x14ac:dyDescent="0.2">
      <c r="A26" s="8" t="s">
        <v>31</v>
      </c>
      <c r="B26" s="1"/>
      <c r="C26" s="18"/>
      <c r="D26" s="18"/>
      <c r="E26" s="82"/>
      <c r="F26" s="82"/>
      <c r="G26" s="82"/>
      <c r="H26" s="82"/>
      <c r="I26" s="18"/>
      <c r="J26" s="18"/>
      <c r="K26" s="18"/>
      <c r="L26" s="18"/>
      <c r="M26" s="18"/>
      <c r="N26" s="18"/>
      <c r="O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O26" s="1" t="s">
        <v>35</v>
      </c>
      <c r="AP26" s="1"/>
      <c r="AQ26" s="1"/>
      <c r="AR26" s="1"/>
      <c r="AS26" s="1"/>
      <c r="AU26" s="1"/>
      <c r="AV26" s="1"/>
      <c r="AY26" s="1"/>
      <c r="BB26" s="1" t="s">
        <v>36</v>
      </c>
      <c r="BC26" s="1"/>
      <c r="BG26" s="1"/>
      <c r="BH26" s="1"/>
      <c r="BI26" s="1" t="s">
        <v>39</v>
      </c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FC26" s="51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</row>
    <row r="27" spans="1:268" ht="14.25" customHeight="1" x14ac:dyDescent="0.2">
      <c r="A27" s="8" t="s">
        <v>32</v>
      </c>
      <c r="B27" s="1"/>
      <c r="C27" s="1"/>
      <c r="D27" s="1"/>
      <c r="E27" s="1"/>
      <c r="F27" s="1"/>
      <c r="G27" s="1"/>
      <c r="H27" s="1"/>
      <c r="I27" s="18"/>
      <c r="J27" s="18"/>
      <c r="K27" s="18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G27" s="1"/>
      <c r="EH27" s="1"/>
      <c r="EI27" s="1"/>
      <c r="EK27" s="1"/>
      <c r="EL27" s="46" t="s">
        <v>35</v>
      </c>
      <c r="EN27" s="1"/>
      <c r="EO27" s="1"/>
      <c r="EY27" s="5"/>
      <c r="EZ27"/>
      <c r="FD27" s="2"/>
      <c r="FE27" s="2"/>
      <c r="FF27" s="28"/>
      <c r="FG27" s="28"/>
      <c r="FI27" s="2"/>
      <c r="FJ27" s="2"/>
      <c r="FK27" s="2"/>
      <c r="FL27" s="2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T27" s="83"/>
      <c r="HB27" s="67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  <c r="IU27" s="45"/>
      <c r="IV27" s="45"/>
      <c r="IW27" s="45"/>
      <c r="IX27" s="45"/>
      <c r="IY27" s="45"/>
      <c r="IZ27" s="45"/>
      <c r="JA27" s="45"/>
      <c r="JB27" s="45"/>
      <c r="JC27" s="45"/>
      <c r="JD27" s="45"/>
      <c r="JE27" s="45"/>
      <c r="JF27" s="45"/>
      <c r="JG27" s="45"/>
      <c r="JH27" s="45"/>
    </row>
    <row r="28" spans="1:268" ht="19.5" customHeight="1" x14ac:dyDescent="0.2">
      <c r="A28" s="85"/>
      <c r="I28" s="86"/>
      <c r="J28" s="86"/>
      <c r="EF28" s="87" t="s">
        <v>44</v>
      </c>
      <c r="ER28" s="88" t="s">
        <v>44</v>
      </c>
      <c r="FG28" s="84"/>
      <c r="FH28" s="84"/>
      <c r="FK28" s="84"/>
      <c r="FT28" s="84"/>
      <c r="FU28" s="84"/>
      <c r="FV28" s="84"/>
      <c r="FX28" s="67" t="s">
        <v>45</v>
      </c>
      <c r="FY28" s="84"/>
      <c r="FZ28" s="84"/>
      <c r="GA28" s="84"/>
      <c r="GB28" s="84"/>
      <c r="GC28" s="84"/>
      <c r="GD28" s="84"/>
      <c r="GE28" s="84"/>
      <c r="GF28" s="84"/>
      <c r="GG28" s="84"/>
      <c r="GH28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4"/>
      <c r="IN28" s="84"/>
      <c r="IO28" s="84"/>
      <c r="IP28" s="84"/>
      <c r="IQ28" s="84"/>
      <c r="IR28" s="84"/>
      <c r="IS28" s="84"/>
      <c r="IT28" s="84"/>
      <c r="IU28" s="84"/>
      <c r="IV28" s="84"/>
      <c r="IW28" s="84"/>
      <c r="IX28" s="84"/>
      <c r="IY28" s="84"/>
      <c r="IZ28" s="84"/>
      <c r="JA28" s="84"/>
      <c r="JB28" s="84"/>
      <c r="JC28" s="84"/>
      <c r="JD28" s="84"/>
      <c r="JE28" s="84"/>
      <c r="JF28" s="84"/>
      <c r="JG28" s="84"/>
      <c r="JH28" s="84"/>
    </row>
    <row r="29" spans="1:268" ht="19.5" customHeight="1" x14ac:dyDescent="0.2"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84"/>
      <c r="GF29" s="84"/>
      <c r="GG29" s="84"/>
      <c r="GH29" s="84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</row>
    <row r="30" spans="1:268" ht="18" customHeight="1" x14ac:dyDescent="0.2"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84"/>
      <c r="GF30" s="84"/>
      <c r="GG30" s="84"/>
      <c r="GH30" s="84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</row>
    <row r="31" spans="1:268" ht="17.25" customHeight="1" x14ac:dyDescent="0.25"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89"/>
      <c r="BL31" s="28"/>
      <c r="BM31" s="28"/>
      <c r="BN31" s="28"/>
      <c r="BO31" s="28"/>
      <c r="BP31" s="28"/>
      <c r="BQ31" s="28"/>
      <c r="BR31" s="28"/>
      <c r="BS31" s="1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90"/>
      <c r="GJ31" s="28"/>
      <c r="GP31" s="28"/>
      <c r="GQ31" s="28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  <c r="IH31" s="91"/>
      <c r="II31" s="91"/>
      <c r="IJ31" s="91"/>
      <c r="IK31" s="91"/>
      <c r="IL31" s="91"/>
      <c r="IM31" s="91"/>
      <c r="IN31" s="91"/>
      <c r="IO31" s="91"/>
      <c r="IP31" s="91"/>
      <c r="IQ31" s="91"/>
      <c r="IR31" s="91"/>
      <c r="IS31" s="91"/>
      <c r="IT31" s="91"/>
      <c r="IU31" s="91"/>
      <c r="IV31" s="91"/>
      <c r="IW31" s="91"/>
      <c r="IX31" s="91"/>
      <c r="IY31" s="91"/>
      <c r="IZ31" s="91"/>
      <c r="JA31" s="91"/>
      <c r="JB31" s="91"/>
      <c r="JC31" s="91"/>
      <c r="JD31" s="91"/>
      <c r="JE31" s="91"/>
      <c r="JF31" s="91"/>
      <c r="JG31" s="91"/>
      <c r="JH31" s="91"/>
    </row>
    <row r="32" spans="1:268" ht="18" customHeight="1" x14ac:dyDescent="0.2">
      <c r="FA32" s="2" t="s">
        <v>46</v>
      </c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84"/>
      <c r="GF32" s="84"/>
      <c r="GG32" s="84"/>
      <c r="GH32" s="84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</row>
    <row r="33" spans="60:268" ht="18" customHeight="1" x14ac:dyDescent="0.2"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84"/>
      <c r="GF33" s="84"/>
      <c r="GG33" s="84"/>
      <c r="GH33" s="84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</row>
    <row r="34" spans="60:268" ht="18" customHeight="1" x14ac:dyDescent="0.2"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 t="s">
        <v>47</v>
      </c>
      <c r="FY34" s="2"/>
      <c r="FZ34" s="2"/>
      <c r="GA34" s="2"/>
      <c r="GB34" s="2"/>
      <c r="GC34" s="2"/>
      <c r="GD34" s="2"/>
      <c r="GE34" s="84"/>
      <c r="GF34" s="84"/>
      <c r="GG34" s="84"/>
      <c r="GH34" s="84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</row>
    <row r="35" spans="60:268" ht="18" customHeight="1" x14ac:dyDescent="0.2"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84"/>
      <c r="GF35" s="84"/>
      <c r="GG35" s="84"/>
      <c r="GH35" s="84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</row>
    <row r="36" spans="60:268" ht="18" customHeight="1" x14ac:dyDescent="0.2">
      <c r="BH36" s="2">
        <f>((BL8/AN8)-1)*100+100</f>
        <v>110.22907900888265</v>
      </c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84"/>
      <c r="GF36" s="84"/>
      <c r="GG36" s="84"/>
      <c r="GH36" s="84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</row>
    <row r="37" spans="60:268" ht="18" customHeight="1" x14ac:dyDescent="0.2"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84"/>
      <c r="GF37" s="84"/>
      <c r="GG37" s="84"/>
      <c r="GH37" s="84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</row>
    <row r="38" spans="60:268" ht="18" customHeight="1" x14ac:dyDescent="0.2"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84"/>
      <c r="GF38" s="84"/>
      <c r="GG38" s="84"/>
      <c r="GH38" s="84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</row>
    <row r="39" spans="60:268" ht="18" customHeight="1" x14ac:dyDescent="0.2"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84"/>
      <c r="GF39" s="84"/>
      <c r="GG39" s="84"/>
      <c r="GH39" s="84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</row>
    <row r="40" spans="60:268" ht="18" customHeight="1" x14ac:dyDescent="0.2"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84"/>
      <c r="GF40" s="84"/>
      <c r="GG40" s="84"/>
      <c r="GH40" s="84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</row>
    <row r="41" spans="60:268" ht="18" customHeight="1" x14ac:dyDescent="0.2"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84"/>
      <c r="GF41" s="84"/>
      <c r="GG41" s="84"/>
      <c r="GH41" s="84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</row>
    <row r="42" spans="60:268" ht="18" customHeight="1" x14ac:dyDescent="0.2"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84"/>
      <c r="GF42" s="84"/>
      <c r="GG42" s="84"/>
      <c r="GH42" s="84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</row>
    <row r="43" spans="60:268" ht="18" customHeight="1" x14ac:dyDescent="0.2"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84"/>
      <c r="GF43" s="84"/>
      <c r="GG43" s="84"/>
      <c r="GH43" s="84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</row>
    <row r="44" spans="60:268" ht="18" customHeight="1" x14ac:dyDescent="0.2"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84"/>
      <c r="GF44" s="84"/>
      <c r="GG44" s="84"/>
      <c r="GH44" s="84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</row>
    <row r="45" spans="60:268" ht="18" customHeight="1" x14ac:dyDescent="0.2"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84"/>
      <c r="GF45" s="84"/>
      <c r="GG45" s="84"/>
      <c r="GH45" s="84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</row>
    <row r="46" spans="60:268" ht="18" customHeight="1" x14ac:dyDescent="0.2"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84"/>
      <c r="GF46" s="84"/>
      <c r="GG46" s="84"/>
      <c r="GH46" s="84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</row>
    <row r="47" spans="60:268" ht="18" customHeight="1" x14ac:dyDescent="0.2"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84"/>
      <c r="GF47" s="84"/>
      <c r="GG47" s="84"/>
      <c r="GH47" s="84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</row>
    <row r="48" spans="60:268" ht="18" customHeight="1" x14ac:dyDescent="0.2"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84"/>
      <c r="GF48" s="84"/>
      <c r="GG48" s="84"/>
      <c r="GH48" s="84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</row>
    <row r="49" spans="187:190" s="2" customFormat="1" ht="18" customHeight="1" x14ac:dyDescent="0.2">
      <c r="GE49" s="84"/>
      <c r="GF49" s="84"/>
      <c r="GG49" s="84"/>
      <c r="GH49" s="84"/>
    </row>
    <row r="50" spans="187:190" s="2" customFormat="1" ht="18" customHeight="1" x14ac:dyDescent="0.2">
      <c r="GE50" s="84"/>
      <c r="GF50" s="84"/>
      <c r="GG50" s="84"/>
      <c r="GH50" s="84"/>
    </row>
    <row r="51" spans="187:190" s="2" customFormat="1" ht="18" customHeight="1" x14ac:dyDescent="0.2">
      <c r="GE51" s="84"/>
      <c r="GF51" s="84"/>
      <c r="GG51" s="84"/>
      <c r="GH51" s="84"/>
    </row>
    <row r="52" spans="187:190" s="2" customFormat="1" ht="18" customHeight="1" x14ac:dyDescent="0.2">
      <c r="GE52" s="84"/>
      <c r="GF52" s="84"/>
      <c r="GG52" s="84"/>
      <c r="GH52" s="84"/>
    </row>
    <row r="53" spans="187:190" s="2" customFormat="1" ht="18" customHeight="1" x14ac:dyDescent="0.2">
      <c r="GE53" s="84"/>
      <c r="GF53" s="84"/>
      <c r="GG53" s="84"/>
      <c r="GH53" s="84"/>
    </row>
    <row r="54" spans="187:190" s="2" customFormat="1" ht="18" customHeight="1" x14ac:dyDescent="0.2">
      <c r="GE54" s="84"/>
      <c r="GF54" s="84"/>
      <c r="GG54" s="84"/>
      <c r="GH54" s="84"/>
    </row>
    <row r="55" spans="187:190" s="2" customFormat="1" ht="18" customHeight="1" x14ac:dyDescent="0.2">
      <c r="GE55" s="84"/>
      <c r="GF55" s="84"/>
      <c r="GG55" s="84"/>
      <c r="GH55" s="84"/>
    </row>
    <row r="56" spans="187:190" s="2" customFormat="1" ht="18" customHeight="1" x14ac:dyDescent="0.2">
      <c r="GE56" s="84"/>
      <c r="GF56" s="84"/>
      <c r="GG56" s="84"/>
      <c r="GH56" s="84"/>
    </row>
    <row r="57" spans="187:190" s="2" customFormat="1" ht="18" customHeight="1" x14ac:dyDescent="0.2">
      <c r="GE57" s="84"/>
      <c r="GF57" s="84"/>
      <c r="GG57" s="84"/>
      <c r="GH57" s="84"/>
    </row>
    <row r="58" spans="187:190" s="2" customFormat="1" ht="18" customHeight="1" x14ac:dyDescent="0.2">
      <c r="GE58" s="84"/>
      <c r="GF58" s="84"/>
      <c r="GG58" s="84"/>
      <c r="GH58" s="84"/>
    </row>
    <row r="59" spans="187:190" s="2" customFormat="1" ht="18" customHeight="1" x14ac:dyDescent="0.2">
      <c r="GE59" s="84"/>
      <c r="GF59" s="84"/>
      <c r="GG59" s="84"/>
      <c r="GH59" s="84"/>
    </row>
    <row r="60" spans="187:190" s="2" customFormat="1" ht="18" customHeight="1" x14ac:dyDescent="0.2">
      <c r="GE60" s="84"/>
      <c r="GF60" s="84"/>
      <c r="GG60" s="84"/>
      <c r="GH60" s="84"/>
    </row>
    <row r="61" spans="187:190" s="2" customFormat="1" ht="18" customHeight="1" x14ac:dyDescent="0.2">
      <c r="GE61" s="84"/>
      <c r="GF61" s="84"/>
      <c r="GG61" s="84"/>
      <c r="GH61" s="84"/>
    </row>
    <row r="62" spans="187:190" s="2" customFormat="1" ht="18" customHeight="1" x14ac:dyDescent="0.2">
      <c r="GE62" s="84"/>
      <c r="GF62" s="84"/>
      <c r="GG62" s="84"/>
      <c r="GH62" s="84"/>
    </row>
    <row r="63" spans="187:190" s="2" customFormat="1" ht="18" customHeight="1" x14ac:dyDescent="0.2">
      <c r="GE63" s="84"/>
      <c r="GF63" s="84"/>
      <c r="GG63" s="84"/>
      <c r="GH63" s="84"/>
    </row>
    <row r="64" spans="187:190" s="2" customFormat="1" ht="18" customHeight="1" x14ac:dyDescent="0.2">
      <c r="GE64" s="84"/>
      <c r="GF64" s="84"/>
      <c r="GG64" s="84"/>
      <c r="GH64" s="84"/>
    </row>
    <row r="65" spans="187:190" s="2" customFormat="1" ht="18" customHeight="1" x14ac:dyDescent="0.2">
      <c r="GE65" s="84"/>
      <c r="GF65" s="84"/>
      <c r="GG65" s="84"/>
      <c r="GH65" s="84"/>
    </row>
    <row r="66" spans="187:190" s="2" customFormat="1" ht="18" customHeight="1" x14ac:dyDescent="0.2">
      <c r="GE66" s="84"/>
      <c r="GF66" s="84"/>
      <c r="GG66" s="84"/>
      <c r="GH66" s="84"/>
    </row>
    <row r="67" spans="187:190" s="2" customFormat="1" ht="18" customHeight="1" x14ac:dyDescent="0.2">
      <c r="GE67" s="84"/>
      <c r="GF67" s="84"/>
      <c r="GG67" s="84"/>
      <c r="GH67" s="84"/>
    </row>
    <row r="68" spans="187:190" s="2" customFormat="1" ht="18" customHeight="1" x14ac:dyDescent="0.2">
      <c r="GE68" s="84"/>
      <c r="GF68" s="84"/>
      <c r="GG68" s="84"/>
      <c r="GH68" s="84"/>
    </row>
    <row r="69" spans="187:190" s="2" customFormat="1" ht="18" customHeight="1" x14ac:dyDescent="0.2">
      <c r="GE69" s="84"/>
      <c r="GF69" s="84"/>
      <c r="GG69" s="84"/>
      <c r="GH69" s="84"/>
    </row>
    <row r="70" spans="187:190" s="2" customFormat="1" ht="18" customHeight="1" x14ac:dyDescent="0.2">
      <c r="GE70" s="84"/>
      <c r="GF70" s="84"/>
      <c r="GG70" s="84"/>
      <c r="GH70" s="84"/>
    </row>
    <row r="71" spans="187:190" s="2" customFormat="1" ht="18" customHeight="1" x14ac:dyDescent="0.2">
      <c r="GE71" s="84"/>
      <c r="GF71" s="84"/>
      <c r="GG71" s="84"/>
      <c r="GH71" s="84"/>
    </row>
    <row r="72" spans="187:190" s="2" customFormat="1" ht="18" customHeight="1" x14ac:dyDescent="0.2">
      <c r="GE72" s="84"/>
      <c r="GF72" s="84"/>
      <c r="GG72" s="84"/>
      <c r="GH72" s="84"/>
    </row>
    <row r="73" spans="187:190" s="2" customFormat="1" ht="18" customHeight="1" x14ac:dyDescent="0.2">
      <c r="GE73" s="84"/>
      <c r="GF73" s="84"/>
      <c r="GG73" s="84"/>
      <c r="GH73" s="84"/>
    </row>
    <row r="74" spans="187:190" s="2" customFormat="1" ht="18" customHeight="1" x14ac:dyDescent="0.2">
      <c r="GE74" s="84"/>
      <c r="GF74" s="84"/>
      <c r="GG74" s="84"/>
      <c r="GH74" s="84"/>
    </row>
    <row r="75" spans="187:190" s="2" customFormat="1" ht="18" customHeight="1" x14ac:dyDescent="0.2">
      <c r="GE75" s="84"/>
      <c r="GF75" s="84"/>
      <c r="GG75" s="84"/>
      <c r="GH75" s="84"/>
    </row>
    <row r="76" spans="187:190" s="2" customFormat="1" ht="18" customHeight="1" x14ac:dyDescent="0.2">
      <c r="GE76" s="84"/>
      <c r="GF76" s="84"/>
      <c r="GG76" s="84"/>
      <c r="GH76" s="84"/>
    </row>
    <row r="77" spans="187:190" s="2" customFormat="1" ht="18" customHeight="1" x14ac:dyDescent="0.2">
      <c r="GE77" s="84"/>
      <c r="GF77" s="84"/>
      <c r="GG77" s="84"/>
      <c r="GH77" s="84"/>
    </row>
    <row r="78" spans="187:190" s="2" customFormat="1" ht="18" customHeight="1" x14ac:dyDescent="0.2">
      <c r="GE78" s="84"/>
      <c r="GF78" s="84"/>
      <c r="GG78" s="84"/>
      <c r="GH78" s="84"/>
    </row>
    <row r="79" spans="187:190" s="2" customFormat="1" ht="18" customHeight="1" x14ac:dyDescent="0.2">
      <c r="GE79" s="84"/>
      <c r="GF79" s="84"/>
      <c r="GG79" s="84"/>
      <c r="GH79" s="84"/>
    </row>
    <row r="80" spans="187:190" s="2" customFormat="1" ht="18" customHeight="1" x14ac:dyDescent="0.2">
      <c r="GE80" s="84"/>
      <c r="GF80" s="84"/>
      <c r="GG80" s="84"/>
      <c r="GH80" s="84"/>
    </row>
    <row r="81" spans="187:190" s="2" customFormat="1" ht="18" customHeight="1" x14ac:dyDescent="0.2">
      <c r="GE81" s="84"/>
      <c r="GF81" s="84"/>
      <c r="GG81" s="84"/>
      <c r="GH81" s="84"/>
    </row>
    <row r="82" spans="187:190" s="2" customFormat="1" ht="18" customHeight="1" x14ac:dyDescent="0.2">
      <c r="GE82" s="84"/>
      <c r="GF82" s="84"/>
      <c r="GG82" s="84"/>
      <c r="GH82" s="84"/>
    </row>
    <row r="83" spans="187:190" s="2" customFormat="1" ht="18" customHeight="1" x14ac:dyDescent="0.2">
      <c r="GE83" s="84"/>
      <c r="GF83" s="84"/>
      <c r="GG83" s="84"/>
      <c r="GH83" s="84"/>
    </row>
    <row r="84" spans="187:190" s="2" customFormat="1" ht="18" customHeight="1" x14ac:dyDescent="0.2">
      <c r="GE84" s="84"/>
      <c r="GF84" s="84"/>
      <c r="GG84" s="84"/>
      <c r="GH84" s="84"/>
    </row>
    <row r="85" spans="187:190" s="2" customFormat="1" ht="18" customHeight="1" x14ac:dyDescent="0.2">
      <c r="GE85" s="84"/>
      <c r="GF85" s="84"/>
      <c r="GG85" s="84"/>
      <c r="GH85" s="84"/>
    </row>
    <row r="86" spans="187:190" s="2" customFormat="1" ht="18" customHeight="1" x14ac:dyDescent="0.2">
      <c r="GE86" s="84"/>
      <c r="GF86" s="84"/>
      <c r="GG86" s="84"/>
      <c r="GH86" s="84"/>
    </row>
    <row r="87" spans="187:190" s="2" customFormat="1" ht="18" customHeight="1" x14ac:dyDescent="0.2">
      <c r="GE87" s="84"/>
      <c r="GF87" s="84"/>
      <c r="GG87" s="84"/>
      <c r="GH87" s="84"/>
    </row>
    <row r="88" spans="187:190" s="2" customFormat="1" ht="18" customHeight="1" x14ac:dyDescent="0.2">
      <c r="GE88" s="84"/>
      <c r="GF88" s="84"/>
      <c r="GG88" s="84"/>
      <c r="GH88" s="84"/>
    </row>
    <row r="89" spans="187:190" s="2" customFormat="1" ht="18" customHeight="1" x14ac:dyDescent="0.2">
      <c r="GE89" s="84"/>
      <c r="GF89" s="84"/>
      <c r="GG89" s="84"/>
      <c r="GH89" s="84"/>
    </row>
    <row r="90" spans="187:190" s="2" customFormat="1" ht="18" customHeight="1" x14ac:dyDescent="0.2">
      <c r="GE90" s="84"/>
      <c r="GF90" s="84"/>
      <c r="GG90" s="84"/>
      <c r="GH90" s="84"/>
    </row>
    <row r="91" spans="187:190" s="2" customFormat="1" ht="18" customHeight="1" x14ac:dyDescent="0.2">
      <c r="GE91" s="84"/>
      <c r="GF91" s="84"/>
      <c r="GG91" s="84"/>
      <c r="GH91" s="84"/>
    </row>
    <row r="92" spans="187:190" s="2" customFormat="1" ht="18" customHeight="1" x14ac:dyDescent="0.2">
      <c r="GE92" s="84"/>
      <c r="GF92" s="84"/>
      <c r="GG92" s="84"/>
      <c r="GH92" s="84"/>
    </row>
    <row r="93" spans="187:190" s="2" customFormat="1" ht="18" customHeight="1" x14ac:dyDescent="0.2">
      <c r="GE93" s="84"/>
      <c r="GF93" s="84"/>
      <c r="GG93" s="84"/>
      <c r="GH93" s="84"/>
    </row>
    <row r="94" spans="187:190" s="2" customFormat="1" ht="18" customHeight="1" x14ac:dyDescent="0.2">
      <c r="GE94" s="84"/>
      <c r="GF94" s="84"/>
      <c r="GG94" s="84"/>
      <c r="GH94" s="84"/>
    </row>
    <row r="95" spans="187:190" s="2" customFormat="1" ht="18" customHeight="1" x14ac:dyDescent="0.2">
      <c r="GE95" s="84"/>
      <c r="GF95" s="84"/>
      <c r="GG95" s="84"/>
      <c r="GH95" s="84"/>
    </row>
    <row r="96" spans="187:190" s="2" customFormat="1" ht="18" customHeight="1" x14ac:dyDescent="0.2">
      <c r="GE96" s="84"/>
      <c r="GF96" s="84"/>
      <c r="GG96" s="84"/>
      <c r="GH96" s="84"/>
    </row>
    <row r="97" spans="187:190" s="2" customFormat="1" ht="18" customHeight="1" x14ac:dyDescent="0.2">
      <c r="GE97" s="84"/>
      <c r="GF97" s="84"/>
      <c r="GG97" s="84"/>
      <c r="GH97" s="84"/>
    </row>
    <row r="98" spans="187:190" s="2" customFormat="1" ht="18" customHeight="1" x14ac:dyDescent="0.2">
      <c r="GE98" s="84"/>
      <c r="GF98" s="84"/>
      <c r="GG98" s="84"/>
      <c r="GH98" s="84"/>
    </row>
    <row r="99" spans="187:190" s="2" customFormat="1" ht="18" customHeight="1" x14ac:dyDescent="0.2">
      <c r="GE99" s="84"/>
      <c r="GF99" s="84"/>
      <c r="GG99" s="84"/>
      <c r="GH99" s="84"/>
    </row>
    <row r="100" spans="187:190" s="2" customFormat="1" ht="18" customHeight="1" x14ac:dyDescent="0.2">
      <c r="GE100" s="84"/>
      <c r="GF100" s="84"/>
      <c r="GG100" s="84"/>
      <c r="GH100" s="84"/>
    </row>
    <row r="101" spans="187:190" s="2" customFormat="1" ht="18" customHeight="1" x14ac:dyDescent="0.2">
      <c r="GE101" s="84"/>
      <c r="GF101" s="84"/>
      <c r="GG101" s="84"/>
      <c r="GH101" s="84"/>
    </row>
    <row r="102" spans="187:190" s="2" customFormat="1" ht="18" customHeight="1" x14ac:dyDescent="0.2">
      <c r="GE102" s="84"/>
      <c r="GF102" s="84"/>
      <c r="GG102" s="84"/>
      <c r="GH102" s="84"/>
    </row>
    <row r="103" spans="187:190" s="2" customFormat="1" ht="18" customHeight="1" x14ac:dyDescent="0.2">
      <c r="GE103" s="84"/>
      <c r="GF103" s="84"/>
      <c r="GG103" s="84"/>
      <c r="GH103" s="84"/>
    </row>
    <row r="104" spans="187:190" s="2" customFormat="1" ht="18" customHeight="1" x14ac:dyDescent="0.2">
      <c r="GE104" s="84"/>
      <c r="GF104" s="84"/>
      <c r="GG104" s="84"/>
      <c r="GH104" s="84"/>
    </row>
    <row r="105" spans="187:190" s="2" customFormat="1" ht="18" customHeight="1" x14ac:dyDescent="0.2">
      <c r="GE105" s="84"/>
      <c r="GF105" s="84"/>
      <c r="GG105" s="84"/>
      <c r="GH105" s="84"/>
    </row>
    <row r="106" spans="187:190" s="2" customFormat="1" ht="18" customHeight="1" x14ac:dyDescent="0.2">
      <c r="GE106" s="84"/>
      <c r="GF106" s="84"/>
      <c r="GG106" s="84"/>
      <c r="GH106" s="84"/>
    </row>
    <row r="107" spans="187:190" s="2" customFormat="1" ht="18" customHeight="1" x14ac:dyDescent="0.2">
      <c r="GE107" s="84"/>
      <c r="GF107" s="84"/>
      <c r="GG107" s="84"/>
      <c r="GH107" s="84"/>
    </row>
    <row r="108" spans="187:190" s="2" customFormat="1" ht="18" customHeight="1" x14ac:dyDescent="0.2">
      <c r="GE108" s="84"/>
      <c r="GF108" s="84"/>
      <c r="GG108" s="84"/>
      <c r="GH108" s="84"/>
    </row>
    <row r="109" spans="187:190" s="2" customFormat="1" ht="18" customHeight="1" x14ac:dyDescent="0.2">
      <c r="GE109" s="84"/>
      <c r="GF109" s="84"/>
      <c r="GG109" s="84"/>
      <c r="GH109" s="84"/>
    </row>
    <row r="110" spans="187:190" s="2" customFormat="1" ht="18" customHeight="1" x14ac:dyDescent="0.2">
      <c r="GE110" s="84"/>
      <c r="GF110" s="84"/>
      <c r="GG110" s="84"/>
      <c r="GH110" s="84"/>
    </row>
    <row r="111" spans="187:190" s="2" customFormat="1" ht="18" customHeight="1" x14ac:dyDescent="0.2">
      <c r="GE111" s="84"/>
      <c r="GF111" s="84"/>
      <c r="GG111" s="84"/>
      <c r="GH111" s="84"/>
    </row>
    <row r="112" spans="187:190" s="2" customFormat="1" ht="18" customHeight="1" x14ac:dyDescent="0.2">
      <c r="GE112" s="84"/>
      <c r="GF112" s="84"/>
      <c r="GG112" s="84"/>
      <c r="GH112" s="84"/>
    </row>
    <row r="113" spans="187:190" s="2" customFormat="1" ht="18" customHeight="1" x14ac:dyDescent="0.2">
      <c r="GE113" s="84"/>
      <c r="GF113" s="84"/>
      <c r="GG113" s="84"/>
      <c r="GH113" s="84"/>
    </row>
    <row r="114" spans="187:190" s="2" customFormat="1" ht="18" customHeight="1" x14ac:dyDescent="0.2">
      <c r="GE114" s="84"/>
      <c r="GF114" s="84"/>
      <c r="GG114" s="84"/>
      <c r="GH114" s="84"/>
    </row>
    <row r="115" spans="187:190" s="2" customFormat="1" ht="18" customHeight="1" x14ac:dyDescent="0.2">
      <c r="GE115" s="84"/>
      <c r="GF115" s="84"/>
      <c r="GG115" s="84"/>
      <c r="GH115" s="84"/>
    </row>
    <row r="116" spans="187:190" s="2" customFormat="1" ht="18" customHeight="1" x14ac:dyDescent="0.2">
      <c r="GE116" s="84"/>
      <c r="GF116" s="84"/>
      <c r="GG116" s="84"/>
      <c r="GH116" s="84"/>
    </row>
    <row r="117" spans="187:190" s="2" customFormat="1" ht="18" customHeight="1" x14ac:dyDescent="0.2">
      <c r="GE117" s="84"/>
      <c r="GF117" s="84"/>
      <c r="GG117" s="84"/>
      <c r="GH117" s="84"/>
    </row>
    <row r="118" spans="187:190" s="2" customFormat="1" ht="18" customHeight="1" x14ac:dyDescent="0.2">
      <c r="GE118" s="84"/>
      <c r="GF118" s="84"/>
      <c r="GG118" s="84"/>
      <c r="GH118" s="84"/>
    </row>
    <row r="119" spans="187:190" s="2" customFormat="1" ht="18" customHeight="1" x14ac:dyDescent="0.2">
      <c r="GE119" s="84"/>
      <c r="GF119" s="84"/>
      <c r="GG119" s="84"/>
      <c r="GH119" s="84"/>
    </row>
    <row r="120" spans="187:190" s="2" customFormat="1" ht="18" customHeight="1" x14ac:dyDescent="0.2">
      <c r="GE120" s="84"/>
      <c r="GF120" s="84"/>
      <c r="GG120" s="84"/>
      <c r="GH120" s="84"/>
    </row>
    <row r="121" spans="187:190" s="2" customFormat="1" ht="18" customHeight="1" x14ac:dyDescent="0.2">
      <c r="GE121" s="84"/>
      <c r="GF121" s="84"/>
      <c r="GG121" s="84"/>
      <c r="GH121" s="84"/>
    </row>
    <row r="122" spans="187:190" s="2" customFormat="1" ht="18" customHeight="1" x14ac:dyDescent="0.2">
      <c r="GE122" s="84"/>
      <c r="GF122" s="84"/>
      <c r="GG122" s="84"/>
      <c r="GH122" s="84"/>
    </row>
    <row r="123" spans="187:190" s="2" customFormat="1" ht="18" customHeight="1" x14ac:dyDescent="0.2">
      <c r="GE123" s="84"/>
      <c r="GF123" s="84"/>
      <c r="GG123" s="84"/>
      <c r="GH123" s="84"/>
    </row>
    <row r="124" spans="187:190" s="2" customFormat="1" ht="18" customHeight="1" x14ac:dyDescent="0.2">
      <c r="GE124" s="84"/>
      <c r="GF124" s="84"/>
      <c r="GG124" s="84"/>
      <c r="GH124" s="84"/>
    </row>
    <row r="125" spans="187:190" s="2" customFormat="1" ht="18" customHeight="1" x14ac:dyDescent="0.2">
      <c r="GE125" s="84"/>
      <c r="GF125" s="84"/>
      <c r="GG125" s="84"/>
      <c r="GH125" s="84"/>
    </row>
    <row r="126" spans="187:190" s="2" customFormat="1" ht="18" customHeight="1" x14ac:dyDescent="0.2">
      <c r="GE126" s="84"/>
      <c r="GF126" s="84"/>
      <c r="GG126" s="84"/>
      <c r="GH126" s="84"/>
    </row>
    <row r="127" spans="187:190" s="2" customFormat="1" ht="18" customHeight="1" x14ac:dyDescent="0.2">
      <c r="GE127" s="84"/>
      <c r="GF127" s="84"/>
      <c r="GG127" s="84"/>
      <c r="GH127" s="84"/>
    </row>
    <row r="128" spans="187:190" s="2" customFormat="1" ht="18" customHeight="1" x14ac:dyDescent="0.2">
      <c r="GE128" s="84"/>
      <c r="GF128" s="84"/>
      <c r="GG128" s="84"/>
      <c r="GH128" s="84"/>
    </row>
    <row r="129" spans="187:190" s="2" customFormat="1" ht="18" customHeight="1" x14ac:dyDescent="0.2">
      <c r="GE129" s="84"/>
      <c r="GF129" s="84"/>
      <c r="GG129" s="84"/>
      <c r="GH129" s="84"/>
    </row>
    <row r="130" spans="187:190" s="2" customFormat="1" ht="18" customHeight="1" x14ac:dyDescent="0.2">
      <c r="GE130" s="84"/>
      <c r="GF130" s="84"/>
      <c r="GG130" s="84"/>
      <c r="GH130" s="84"/>
    </row>
    <row r="131" spans="187:190" s="2" customFormat="1" ht="18" customHeight="1" x14ac:dyDescent="0.2">
      <c r="GE131" s="84"/>
      <c r="GF131" s="84"/>
      <c r="GG131" s="84"/>
      <c r="GH131" s="84"/>
    </row>
    <row r="132" spans="187:190" s="2" customFormat="1" ht="18" customHeight="1" x14ac:dyDescent="0.2">
      <c r="GE132" s="84"/>
      <c r="GF132" s="84"/>
      <c r="GG132" s="84"/>
      <c r="GH132" s="84"/>
    </row>
    <row r="133" spans="187:190" s="2" customFormat="1" ht="18" customHeight="1" x14ac:dyDescent="0.2">
      <c r="GE133" s="84"/>
      <c r="GF133" s="84"/>
      <c r="GG133" s="84"/>
      <c r="GH133" s="84"/>
    </row>
    <row r="134" spans="187:190" s="2" customFormat="1" ht="18" customHeight="1" x14ac:dyDescent="0.2">
      <c r="GE134" s="84"/>
      <c r="GF134" s="84"/>
      <c r="GG134" s="84"/>
      <c r="GH134" s="84"/>
    </row>
    <row r="135" spans="187:190" s="2" customFormat="1" ht="18" customHeight="1" x14ac:dyDescent="0.2">
      <c r="GE135" s="84"/>
      <c r="GF135" s="84"/>
      <c r="GG135" s="84"/>
      <c r="GH135" s="84"/>
    </row>
    <row r="136" spans="187:190" s="2" customFormat="1" ht="18" customHeight="1" x14ac:dyDescent="0.2">
      <c r="GE136" s="84"/>
      <c r="GF136" s="84"/>
      <c r="GG136" s="84"/>
      <c r="GH136" s="84"/>
    </row>
    <row r="137" spans="187:190" s="2" customFormat="1" ht="18" customHeight="1" x14ac:dyDescent="0.2">
      <c r="GE137" s="84"/>
      <c r="GF137" s="84"/>
      <c r="GG137" s="84"/>
      <c r="GH137" s="84"/>
    </row>
    <row r="138" spans="187:190" s="2" customFormat="1" ht="18" customHeight="1" x14ac:dyDescent="0.2">
      <c r="GE138" s="84"/>
      <c r="GF138" s="84"/>
      <c r="GG138" s="84"/>
      <c r="GH138" s="84"/>
    </row>
    <row r="139" spans="187:190" s="2" customFormat="1" ht="18" customHeight="1" x14ac:dyDescent="0.2">
      <c r="GE139" s="84"/>
      <c r="GF139" s="84"/>
      <c r="GG139" s="84"/>
      <c r="GH139" s="84"/>
    </row>
    <row r="140" spans="187:190" s="2" customFormat="1" ht="18" customHeight="1" x14ac:dyDescent="0.2">
      <c r="GE140" s="84"/>
      <c r="GF140" s="84"/>
      <c r="GG140" s="84"/>
      <c r="GH140" s="84"/>
    </row>
    <row r="141" spans="187:190" s="2" customFormat="1" ht="18" customHeight="1" x14ac:dyDescent="0.2">
      <c r="GE141" s="84"/>
      <c r="GF141" s="84"/>
      <c r="GG141" s="84"/>
      <c r="GH141" s="84"/>
    </row>
    <row r="142" spans="187:190" s="2" customFormat="1" ht="18" customHeight="1" x14ac:dyDescent="0.2">
      <c r="GE142" s="84"/>
      <c r="GF142" s="84"/>
      <c r="GG142" s="84"/>
      <c r="GH142" s="84"/>
    </row>
    <row r="143" spans="187:190" s="2" customFormat="1" ht="18" customHeight="1" x14ac:dyDescent="0.2">
      <c r="GE143" s="84"/>
      <c r="GF143" s="84"/>
      <c r="GG143" s="84"/>
      <c r="GH143" s="84"/>
    </row>
    <row r="144" spans="187:190" s="2" customFormat="1" ht="18" customHeight="1" x14ac:dyDescent="0.2">
      <c r="GE144" s="84"/>
      <c r="GF144" s="84"/>
      <c r="GG144" s="84"/>
      <c r="GH144" s="84"/>
    </row>
    <row r="145" spans="187:190" s="2" customFormat="1" ht="18" customHeight="1" x14ac:dyDescent="0.2">
      <c r="GE145" s="84"/>
      <c r="GF145" s="84"/>
      <c r="GG145" s="84"/>
      <c r="GH145" s="84"/>
    </row>
    <row r="146" spans="187:190" s="2" customFormat="1" ht="18" customHeight="1" x14ac:dyDescent="0.2">
      <c r="GE146" s="84"/>
      <c r="GF146" s="84"/>
      <c r="GG146" s="84"/>
      <c r="GH146" s="84"/>
    </row>
    <row r="147" spans="187:190" s="2" customFormat="1" ht="18" customHeight="1" x14ac:dyDescent="0.2">
      <c r="GE147" s="84"/>
      <c r="GF147" s="84"/>
      <c r="GG147" s="84"/>
      <c r="GH147" s="84"/>
    </row>
    <row r="148" spans="187:190" s="2" customFormat="1" ht="18" customHeight="1" x14ac:dyDescent="0.2">
      <c r="GE148" s="84"/>
      <c r="GF148" s="84"/>
      <c r="GG148" s="84"/>
      <c r="GH148" s="84"/>
    </row>
    <row r="149" spans="187:190" s="2" customFormat="1" ht="18" customHeight="1" x14ac:dyDescent="0.2">
      <c r="GE149" s="84"/>
      <c r="GF149" s="84"/>
      <c r="GG149" s="84"/>
      <c r="GH149" s="84"/>
    </row>
    <row r="150" spans="187:190" s="2" customFormat="1" ht="18" customHeight="1" x14ac:dyDescent="0.2">
      <c r="GE150" s="84"/>
      <c r="GF150" s="84"/>
      <c r="GG150" s="84"/>
      <c r="GH150" s="84"/>
    </row>
    <row r="151" spans="187:190" s="2" customFormat="1" ht="18" customHeight="1" x14ac:dyDescent="0.2">
      <c r="GE151" s="84"/>
      <c r="GF151" s="84"/>
      <c r="GG151" s="84"/>
      <c r="GH151" s="84"/>
    </row>
    <row r="152" spans="187:190" s="2" customFormat="1" ht="18" customHeight="1" x14ac:dyDescent="0.2">
      <c r="GE152" s="84"/>
      <c r="GF152" s="84"/>
      <c r="GG152" s="84"/>
      <c r="GH152" s="84"/>
    </row>
    <row r="153" spans="187:190" s="2" customFormat="1" ht="18" customHeight="1" x14ac:dyDescent="0.2">
      <c r="GE153" s="84"/>
      <c r="GF153" s="84"/>
      <c r="GG153" s="84"/>
      <c r="GH153" s="84"/>
    </row>
    <row r="154" spans="187:190" s="2" customFormat="1" ht="18" customHeight="1" x14ac:dyDescent="0.2">
      <c r="GE154" s="84"/>
      <c r="GF154" s="84"/>
      <c r="GG154" s="84"/>
      <c r="GH154" s="84"/>
    </row>
    <row r="155" spans="187:190" s="2" customFormat="1" ht="18" customHeight="1" x14ac:dyDescent="0.2">
      <c r="GE155" s="84"/>
      <c r="GF155" s="84"/>
      <c r="GG155" s="84"/>
      <c r="GH155" s="84"/>
    </row>
    <row r="156" spans="187:190" s="2" customFormat="1" ht="18" customHeight="1" x14ac:dyDescent="0.2">
      <c r="GE156" s="84"/>
      <c r="GF156" s="84"/>
      <c r="GG156" s="84"/>
      <c r="GH156" s="84"/>
    </row>
    <row r="157" spans="187:190" s="2" customFormat="1" ht="18" customHeight="1" x14ac:dyDescent="0.2">
      <c r="GE157" s="84"/>
      <c r="GF157" s="84"/>
      <c r="GG157" s="84"/>
      <c r="GH157" s="84"/>
    </row>
    <row r="158" spans="187:190" s="2" customFormat="1" ht="18" customHeight="1" x14ac:dyDescent="0.2">
      <c r="GE158" s="84"/>
      <c r="GF158" s="84"/>
      <c r="GG158" s="84"/>
      <c r="GH158" s="84"/>
    </row>
    <row r="159" spans="187:190" s="2" customFormat="1" ht="18" customHeight="1" x14ac:dyDescent="0.2">
      <c r="GE159" s="84"/>
      <c r="GF159" s="84"/>
      <c r="GG159" s="84"/>
      <c r="GH159" s="84"/>
    </row>
    <row r="160" spans="187:190" s="2" customFormat="1" ht="18" customHeight="1" x14ac:dyDescent="0.2">
      <c r="GE160" s="84"/>
      <c r="GF160" s="84"/>
      <c r="GG160" s="84"/>
      <c r="GH160" s="84"/>
    </row>
    <row r="161" spans="187:190" s="2" customFormat="1" ht="18" customHeight="1" x14ac:dyDescent="0.2">
      <c r="GE161" s="84"/>
      <c r="GF161" s="84"/>
      <c r="GG161" s="84"/>
      <c r="GH161" s="84"/>
    </row>
    <row r="162" spans="187:190" s="2" customFormat="1" ht="18" customHeight="1" x14ac:dyDescent="0.2">
      <c r="GE162" s="84"/>
      <c r="GF162" s="84"/>
      <c r="GG162" s="84"/>
      <c r="GH162" s="84"/>
    </row>
    <row r="163" spans="187:190" s="2" customFormat="1" ht="18" customHeight="1" x14ac:dyDescent="0.2">
      <c r="GE163" s="84"/>
      <c r="GF163" s="84"/>
      <c r="GG163" s="84"/>
      <c r="GH163" s="84"/>
    </row>
    <row r="164" spans="187:190" s="2" customFormat="1" ht="18" customHeight="1" x14ac:dyDescent="0.2">
      <c r="GE164" s="84"/>
      <c r="GF164" s="84"/>
      <c r="GG164" s="84"/>
      <c r="GH164" s="84"/>
    </row>
    <row r="165" spans="187:190" s="2" customFormat="1" ht="18" customHeight="1" x14ac:dyDescent="0.2">
      <c r="GE165" s="84"/>
      <c r="GF165" s="84"/>
      <c r="GG165" s="84"/>
      <c r="GH165" s="84"/>
    </row>
    <row r="166" spans="187:190" s="2" customFormat="1" ht="18" customHeight="1" x14ac:dyDescent="0.2">
      <c r="GE166" s="84"/>
      <c r="GF166" s="84"/>
      <c r="GG166" s="84"/>
      <c r="GH166" s="84"/>
    </row>
    <row r="167" spans="187:190" s="2" customFormat="1" ht="18" customHeight="1" x14ac:dyDescent="0.2">
      <c r="GE167" s="84"/>
      <c r="GF167" s="84"/>
      <c r="GG167" s="84"/>
      <c r="GH167" s="84"/>
    </row>
    <row r="168" spans="187:190" s="2" customFormat="1" ht="18" customHeight="1" x14ac:dyDescent="0.2">
      <c r="GE168" s="84"/>
      <c r="GF168" s="84"/>
      <c r="GG168" s="84"/>
      <c r="GH168" s="84"/>
    </row>
    <row r="169" spans="187:190" s="2" customFormat="1" ht="18" customHeight="1" x14ac:dyDescent="0.2">
      <c r="GE169" s="84"/>
      <c r="GF169" s="84"/>
      <c r="GG169" s="84"/>
      <c r="GH169" s="84"/>
    </row>
    <row r="170" spans="187:190" s="2" customFormat="1" ht="18" customHeight="1" x14ac:dyDescent="0.2">
      <c r="GE170" s="84"/>
      <c r="GF170" s="84"/>
      <c r="GG170" s="84"/>
      <c r="GH170" s="84"/>
    </row>
    <row r="171" spans="187:190" s="2" customFormat="1" ht="18" customHeight="1" x14ac:dyDescent="0.2">
      <c r="GE171" s="84"/>
      <c r="GF171" s="84"/>
      <c r="GG171" s="84"/>
      <c r="GH171" s="84"/>
    </row>
    <row r="172" spans="187:190" s="2" customFormat="1" ht="18" customHeight="1" x14ac:dyDescent="0.2">
      <c r="GE172" s="84"/>
      <c r="GF172" s="84"/>
      <c r="GG172" s="84"/>
      <c r="GH172" s="84"/>
    </row>
    <row r="173" spans="187:190" s="2" customFormat="1" ht="18" customHeight="1" x14ac:dyDescent="0.2">
      <c r="GE173" s="84"/>
      <c r="GF173" s="84"/>
      <c r="GG173" s="84"/>
      <c r="GH173" s="84"/>
    </row>
    <row r="174" spans="187:190" s="2" customFormat="1" ht="18" customHeight="1" x14ac:dyDescent="0.2">
      <c r="GE174" s="84"/>
      <c r="GF174" s="84"/>
      <c r="GG174" s="84"/>
      <c r="GH174" s="84"/>
    </row>
    <row r="175" spans="187:190" s="2" customFormat="1" ht="18" customHeight="1" x14ac:dyDescent="0.2">
      <c r="GE175" s="84"/>
      <c r="GF175" s="84"/>
      <c r="GG175" s="84"/>
      <c r="GH175" s="84"/>
    </row>
    <row r="176" spans="187:190" s="2" customFormat="1" ht="18" customHeight="1" x14ac:dyDescent="0.2">
      <c r="GE176" s="84"/>
      <c r="GF176" s="84"/>
      <c r="GG176" s="84"/>
      <c r="GH176" s="84"/>
    </row>
    <row r="177" spans="187:190" s="2" customFormat="1" ht="18" customHeight="1" x14ac:dyDescent="0.2">
      <c r="GE177" s="84"/>
      <c r="GF177" s="84"/>
      <c r="GG177" s="84"/>
      <c r="GH177" s="84"/>
    </row>
    <row r="178" spans="187:190" s="2" customFormat="1" ht="18" customHeight="1" x14ac:dyDescent="0.2">
      <c r="GE178" s="84"/>
      <c r="GF178" s="84"/>
      <c r="GG178" s="84"/>
      <c r="GH178" s="84"/>
    </row>
    <row r="179" spans="187:190" s="2" customFormat="1" ht="18" customHeight="1" x14ac:dyDescent="0.2">
      <c r="GE179" s="84"/>
      <c r="GF179" s="84"/>
      <c r="GG179" s="84"/>
      <c r="GH179" s="84"/>
    </row>
    <row r="180" spans="187:190" s="2" customFormat="1" ht="18" customHeight="1" x14ac:dyDescent="0.2">
      <c r="GE180" s="84"/>
      <c r="GF180" s="84"/>
      <c r="GG180" s="84"/>
      <c r="GH180" s="84"/>
    </row>
    <row r="181" spans="187:190" s="2" customFormat="1" ht="18" customHeight="1" x14ac:dyDescent="0.2">
      <c r="GE181" s="84"/>
      <c r="GF181" s="84"/>
      <c r="GG181" s="84"/>
      <c r="GH181" s="84"/>
    </row>
    <row r="182" spans="187:190" s="2" customFormat="1" ht="18" customHeight="1" x14ac:dyDescent="0.2">
      <c r="GE182" s="84"/>
      <c r="GF182" s="84"/>
      <c r="GG182" s="84"/>
      <c r="GH182" s="84"/>
    </row>
    <row r="183" spans="187:190" s="2" customFormat="1" ht="18" customHeight="1" x14ac:dyDescent="0.2">
      <c r="GE183" s="84"/>
      <c r="GF183" s="84"/>
      <c r="GG183" s="84"/>
      <c r="GH183" s="84"/>
    </row>
    <row r="184" spans="187:190" s="2" customFormat="1" ht="18" customHeight="1" x14ac:dyDescent="0.2">
      <c r="GE184" s="84"/>
      <c r="GF184" s="84"/>
      <c r="GG184" s="84"/>
      <c r="GH184" s="84"/>
    </row>
    <row r="185" spans="187:190" s="2" customFormat="1" ht="18" customHeight="1" x14ac:dyDescent="0.2">
      <c r="GE185" s="84"/>
      <c r="GF185" s="84"/>
      <c r="GG185" s="84"/>
      <c r="GH185" s="84"/>
    </row>
    <row r="186" spans="187:190" s="2" customFormat="1" ht="18" customHeight="1" x14ac:dyDescent="0.2">
      <c r="GE186" s="84"/>
      <c r="GF186" s="84"/>
      <c r="GG186" s="84"/>
      <c r="GH186" s="84"/>
    </row>
    <row r="187" spans="187:190" s="2" customFormat="1" ht="18" customHeight="1" x14ac:dyDescent="0.2">
      <c r="GE187" s="84"/>
      <c r="GF187" s="84"/>
      <c r="GG187" s="84"/>
      <c r="GH187" s="84"/>
    </row>
    <row r="188" spans="187:190" s="2" customFormat="1" ht="18" customHeight="1" x14ac:dyDescent="0.2">
      <c r="GE188" s="84"/>
      <c r="GF188" s="84"/>
      <c r="GG188" s="84"/>
      <c r="GH188" s="84"/>
    </row>
    <row r="189" spans="187:190" s="2" customFormat="1" ht="18" customHeight="1" x14ac:dyDescent="0.2">
      <c r="GE189" s="84"/>
      <c r="GF189" s="84"/>
      <c r="GG189" s="84"/>
      <c r="GH189" s="84"/>
    </row>
    <row r="190" spans="187:190" s="2" customFormat="1" ht="18" customHeight="1" x14ac:dyDescent="0.2">
      <c r="GE190" s="84"/>
      <c r="GF190" s="84"/>
      <c r="GG190" s="84"/>
      <c r="GH190" s="84"/>
    </row>
    <row r="191" spans="187:190" s="2" customFormat="1" ht="18" customHeight="1" x14ac:dyDescent="0.2">
      <c r="GE191" s="84"/>
      <c r="GF191" s="84"/>
      <c r="GG191" s="84"/>
      <c r="GH191" s="84"/>
    </row>
    <row r="192" spans="187:190" s="2" customFormat="1" ht="18" customHeight="1" x14ac:dyDescent="0.2">
      <c r="GE192" s="84"/>
      <c r="GF192" s="84"/>
      <c r="GG192" s="84"/>
      <c r="GH192" s="84"/>
    </row>
    <row r="193" spans="187:190" s="2" customFormat="1" ht="18" customHeight="1" x14ac:dyDescent="0.2">
      <c r="GE193" s="84"/>
      <c r="GF193" s="84"/>
      <c r="GG193" s="84"/>
      <c r="GH193" s="84"/>
    </row>
    <row r="194" spans="187:190" s="2" customFormat="1" ht="18" customHeight="1" x14ac:dyDescent="0.2">
      <c r="GE194" s="84"/>
      <c r="GF194" s="84"/>
      <c r="GG194" s="84"/>
      <c r="GH194" s="84"/>
    </row>
    <row r="195" spans="187:190" s="2" customFormat="1" ht="18" customHeight="1" x14ac:dyDescent="0.2">
      <c r="GE195" s="84"/>
      <c r="GF195" s="84"/>
      <c r="GG195" s="84"/>
      <c r="GH195" s="84"/>
    </row>
    <row r="196" spans="187:190" s="2" customFormat="1" ht="18" customHeight="1" x14ac:dyDescent="0.2">
      <c r="GE196" s="84"/>
      <c r="GF196" s="84"/>
      <c r="GG196" s="84"/>
      <c r="GH196" s="84"/>
    </row>
    <row r="197" spans="187:190" s="2" customFormat="1" ht="18" customHeight="1" x14ac:dyDescent="0.2">
      <c r="GE197" s="84"/>
      <c r="GF197" s="84"/>
      <c r="GG197" s="84"/>
      <c r="GH197" s="84"/>
    </row>
    <row r="198" spans="187:190" s="2" customFormat="1" ht="18" customHeight="1" x14ac:dyDescent="0.2">
      <c r="GE198" s="84"/>
      <c r="GF198" s="84"/>
      <c r="GG198" s="84"/>
      <c r="GH198" s="84"/>
    </row>
    <row r="199" spans="187:190" s="2" customFormat="1" ht="18" customHeight="1" x14ac:dyDescent="0.2">
      <c r="GE199" s="84"/>
      <c r="GF199" s="84"/>
      <c r="GG199" s="84"/>
      <c r="GH199" s="84"/>
    </row>
    <row r="200" spans="187:190" s="2" customFormat="1" ht="18" customHeight="1" x14ac:dyDescent="0.2">
      <c r="GE200" s="84"/>
      <c r="GF200" s="84"/>
      <c r="GG200" s="84"/>
      <c r="GH200" s="84"/>
    </row>
    <row r="201" spans="187:190" s="2" customFormat="1" ht="18" customHeight="1" x14ac:dyDescent="0.2">
      <c r="GE201" s="84"/>
      <c r="GF201" s="84"/>
      <c r="GG201" s="84"/>
      <c r="GH201" s="84"/>
    </row>
    <row r="202" spans="187:190" s="2" customFormat="1" ht="18" customHeight="1" x14ac:dyDescent="0.2">
      <c r="GE202" s="84"/>
      <c r="GF202" s="84"/>
      <c r="GG202" s="84"/>
      <c r="GH202" s="84"/>
    </row>
    <row r="203" spans="187:190" s="2" customFormat="1" ht="18" customHeight="1" x14ac:dyDescent="0.2">
      <c r="GE203" s="84"/>
      <c r="GF203" s="84"/>
      <c r="GG203" s="84"/>
      <c r="GH203" s="84"/>
    </row>
    <row r="204" spans="187:190" s="2" customFormat="1" ht="18" customHeight="1" x14ac:dyDescent="0.2">
      <c r="GE204" s="84"/>
      <c r="GF204" s="84"/>
      <c r="GG204" s="84"/>
      <c r="GH204" s="84"/>
    </row>
    <row r="205" spans="187:190" s="2" customFormat="1" ht="18" customHeight="1" x14ac:dyDescent="0.2">
      <c r="GE205" s="84"/>
      <c r="GF205" s="84"/>
      <c r="GG205" s="84"/>
      <c r="GH205" s="84"/>
    </row>
    <row r="206" spans="187:190" s="2" customFormat="1" ht="18" customHeight="1" x14ac:dyDescent="0.2">
      <c r="GE206" s="84"/>
      <c r="GF206" s="84"/>
      <c r="GG206" s="84"/>
      <c r="GH206" s="84"/>
    </row>
    <row r="207" spans="187:190" s="2" customFormat="1" ht="18" customHeight="1" x14ac:dyDescent="0.2">
      <c r="GE207" s="84"/>
      <c r="GF207" s="84"/>
      <c r="GG207" s="84"/>
      <c r="GH207" s="84"/>
    </row>
    <row r="208" spans="187:190" s="2" customFormat="1" ht="18" customHeight="1" x14ac:dyDescent="0.2">
      <c r="GE208" s="84"/>
      <c r="GF208" s="84"/>
      <c r="GG208" s="84"/>
      <c r="GH208" s="84"/>
    </row>
    <row r="209" spans="187:190" s="2" customFormat="1" ht="18" customHeight="1" x14ac:dyDescent="0.2">
      <c r="GE209" s="84"/>
      <c r="GF209" s="84"/>
      <c r="GG209" s="84"/>
      <c r="GH209" s="84"/>
    </row>
    <row r="210" spans="187:190" s="2" customFormat="1" ht="18" customHeight="1" x14ac:dyDescent="0.2">
      <c r="GE210" s="84"/>
      <c r="GF210" s="84"/>
      <c r="GG210" s="84"/>
      <c r="GH210" s="84"/>
    </row>
    <row r="211" spans="187:190" s="2" customFormat="1" ht="18" customHeight="1" x14ac:dyDescent="0.2">
      <c r="GE211" s="84"/>
      <c r="GF211" s="84"/>
      <c r="GG211" s="84"/>
      <c r="GH211" s="84"/>
    </row>
    <row r="212" spans="187:190" s="2" customFormat="1" ht="18" customHeight="1" x14ac:dyDescent="0.2">
      <c r="GE212" s="84"/>
      <c r="GF212" s="84"/>
      <c r="GG212" s="84"/>
      <c r="GH212" s="84"/>
    </row>
    <row r="213" spans="187:190" s="2" customFormat="1" ht="18" customHeight="1" x14ac:dyDescent="0.2">
      <c r="GE213" s="84"/>
      <c r="GF213" s="84"/>
      <c r="GG213" s="84"/>
      <c r="GH213" s="84"/>
    </row>
    <row r="214" spans="187:190" s="2" customFormat="1" ht="18" customHeight="1" x14ac:dyDescent="0.2">
      <c r="GE214" s="84"/>
      <c r="GF214" s="84"/>
      <c r="GG214" s="84"/>
      <c r="GH214" s="84"/>
    </row>
    <row r="215" spans="187:190" s="2" customFormat="1" ht="18" customHeight="1" x14ac:dyDescent="0.2">
      <c r="GE215" s="84"/>
      <c r="GF215" s="84"/>
      <c r="GG215" s="84"/>
      <c r="GH215" s="84"/>
    </row>
    <row r="216" spans="187:190" s="2" customFormat="1" ht="18" customHeight="1" x14ac:dyDescent="0.2">
      <c r="GE216" s="84"/>
      <c r="GF216" s="84"/>
      <c r="GG216" s="84"/>
      <c r="GH216" s="84"/>
    </row>
    <row r="217" spans="187:190" s="2" customFormat="1" ht="18" customHeight="1" x14ac:dyDescent="0.2">
      <c r="GE217" s="84"/>
      <c r="GF217" s="84"/>
      <c r="GG217" s="84"/>
      <c r="GH217" s="84"/>
    </row>
    <row r="218" spans="187:190" s="2" customFormat="1" ht="18" customHeight="1" x14ac:dyDescent="0.2">
      <c r="GE218" s="84"/>
      <c r="GF218" s="84"/>
      <c r="GG218" s="84"/>
      <c r="GH218" s="84"/>
    </row>
    <row r="219" spans="187:190" s="2" customFormat="1" ht="18" customHeight="1" x14ac:dyDescent="0.2">
      <c r="GE219" s="84"/>
      <c r="GF219" s="84"/>
      <c r="GG219" s="84"/>
      <c r="GH219" s="84"/>
    </row>
    <row r="220" spans="187:190" s="2" customFormat="1" ht="18" customHeight="1" x14ac:dyDescent="0.2">
      <c r="GE220" s="84"/>
      <c r="GF220" s="84"/>
      <c r="GG220" s="84"/>
      <c r="GH220" s="84"/>
    </row>
    <row r="221" spans="187:190" s="2" customFormat="1" ht="18" customHeight="1" x14ac:dyDescent="0.2">
      <c r="GE221" s="84"/>
      <c r="GF221" s="84"/>
      <c r="GG221" s="84"/>
      <c r="GH221" s="84"/>
    </row>
    <row r="222" spans="187:190" s="2" customFormat="1" ht="18" customHeight="1" x14ac:dyDescent="0.2">
      <c r="GE222" s="84"/>
      <c r="GF222" s="84"/>
      <c r="GG222" s="84"/>
      <c r="GH222" s="84"/>
    </row>
    <row r="223" spans="187:190" s="2" customFormat="1" ht="18" customHeight="1" x14ac:dyDescent="0.2">
      <c r="GE223" s="84"/>
      <c r="GF223" s="84"/>
      <c r="GG223" s="84"/>
      <c r="GH223" s="84"/>
    </row>
    <row r="224" spans="187:190" s="2" customFormat="1" ht="18" customHeight="1" x14ac:dyDescent="0.2">
      <c r="GE224" s="84"/>
      <c r="GF224" s="84"/>
      <c r="GG224" s="84"/>
      <c r="GH224" s="84"/>
    </row>
    <row r="225" spans="187:190" s="2" customFormat="1" ht="18" customHeight="1" x14ac:dyDescent="0.2">
      <c r="GE225" s="84"/>
      <c r="GF225" s="84"/>
      <c r="GG225" s="84"/>
      <c r="GH225" s="84"/>
    </row>
    <row r="226" spans="187:190" s="2" customFormat="1" ht="18" customHeight="1" x14ac:dyDescent="0.2">
      <c r="GE226" s="84"/>
      <c r="GF226" s="84"/>
      <c r="GG226" s="84"/>
      <c r="GH226" s="84"/>
    </row>
    <row r="227" spans="187:190" s="2" customFormat="1" ht="18" customHeight="1" x14ac:dyDescent="0.2">
      <c r="GE227" s="84"/>
      <c r="GF227" s="84"/>
      <c r="GG227" s="84"/>
      <c r="GH227" s="84"/>
    </row>
    <row r="228" spans="187:190" s="2" customFormat="1" ht="18" customHeight="1" x14ac:dyDescent="0.2">
      <c r="GE228" s="84"/>
      <c r="GF228" s="84"/>
      <c r="GG228" s="84"/>
      <c r="GH228" s="84"/>
    </row>
    <row r="229" spans="187:190" s="2" customFormat="1" ht="18" customHeight="1" x14ac:dyDescent="0.2">
      <c r="GE229" s="84"/>
      <c r="GF229" s="84"/>
      <c r="GG229" s="84"/>
      <c r="GH229" s="84"/>
    </row>
    <row r="230" spans="187:190" s="2" customFormat="1" ht="18" customHeight="1" x14ac:dyDescent="0.2">
      <c r="GE230" s="84"/>
      <c r="GF230" s="84"/>
      <c r="GG230" s="84"/>
      <c r="GH230" s="84"/>
    </row>
    <row r="231" spans="187:190" s="2" customFormat="1" ht="18" customHeight="1" x14ac:dyDescent="0.2">
      <c r="GE231" s="84"/>
      <c r="GF231" s="84"/>
      <c r="GG231" s="84"/>
      <c r="GH231" s="84"/>
    </row>
    <row r="232" spans="187:190" s="2" customFormat="1" ht="18" customHeight="1" x14ac:dyDescent="0.2">
      <c r="GE232" s="84"/>
      <c r="GF232" s="84"/>
      <c r="GG232" s="84"/>
      <c r="GH232" s="84"/>
    </row>
    <row r="233" spans="187:190" s="2" customFormat="1" ht="18" customHeight="1" x14ac:dyDescent="0.2">
      <c r="GE233" s="84"/>
      <c r="GF233" s="84"/>
      <c r="GG233" s="84"/>
      <c r="GH233" s="84"/>
    </row>
    <row r="234" spans="187:190" s="2" customFormat="1" ht="18" customHeight="1" x14ac:dyDescent="0.2">
      <c r="GE234" s="84"/>
      <c r="GF234" s="84"/>
      <c r="GG234" s="84"/>
      <c r="GH234" s="84"/>
    </row>
    <row r="235" spans="187:190" s="2" customFormat="1" ht="18" customHeight="1" x14ac:dyDescent="0.2">
      <c r="GE235" s="84"/>
      <c r="GF235" s="84"/>
      <c r="GG235" s="84"/>
      <c r="GH235" s="84"/>
    </row>
    <row r="236" spans="187:190" s="2" customFormat="1" ht="18" customHeight="1" x14ac:dyDescent="0.2">
      <c r="GE236" s="84"/>
      <c r="GF236" s="84"/>
      <c r="GG236" s="84"/>
      <c r="GH236" s="84"/>
    </row>
    <row r="237" spans="187:190" s="2" customFormat="1" ht="18" customHeight="1" x14ac:dyDescent="0.2">
      <c r="GE237" s="84"/>
      <c r="GF237" s="84"/>
      <c r="GG237" s="84"/>
      <c r="GH237" s="84"/>
    </row>
    <row r="238" spans="187:190" s="2" customFormat="1" ht="18" customHeight="1" x14ac:dyDescent="0.2">
      <c r="GE238" s="84"/>
      <c r="GF238" s="84"/>
      <c r="GG238" s="84"/>
      <c r="GH238" s="84"/>
    </row>
    <row r="239" spans="187:190" s="2" customFormat="1" ht="18" customHeight="1" x14ac:dyDescent="0.2">
      <c r="GE239" s="84"/>
      <c r="GF239" s="84"/>
      <c r="GG239" s="84"/>
      <c r="GH239" s="84"/>
    </row>
    <row r="240" spans="187:190" s="2" customFormat="1" ht="18" customHeight="1" x14ac:dyDescent="0.2">
      <c r="GE240" s="84"/>
      <c r="GF240" s="84"/>
      <c r="GG240" s="84"/>
      <c r="GH240" s="84"/>
    </row>
    <row r="241" spans="187:190" s="2" customFormat="1" ht="18" customHeight="1" x14ac:dyDescent="0.2">
      <c r="GE241" s="84"/>
      <c r="GF241" s="84"/>
      <c r="GG241" s="84"/>
      <c r="GH241" s="84"/>
    </row>
    <row r="242" spans="187:190" s="2" customFormat="1" ht="18" customHeight="1" x14ac:dyDescent="0.2">
      <c r="GE242" s="84"/>
      <c r="GF242" s="84"/>
      <c r="GG242" s="84"/>
      <c r="GH242" s="84"/>
    </row>
    <row r="243" spans="187:190" s="2" customFormat="1" ht="18" customHeight="1" x14ac:dyDescent="0.2">
      <c r="GE243" s="84"/>
      <c r="GF243" s="84"/>
      <c r="GG243" s="84"/>
      <c r="GH243" s="84"/>
    </row>
    <row r="244" spans="187:190" s="2" customFormat="1" ht="18" customHeight="1" x14ac:dyDescent="0.2">
      <c r="GE244" s="84"/>
      <c r="GF244" s="84"/>
      <c r="GG244" s="84"/>
      <c r="GH244" s="84"/>
    </row>
    <row r="245" spans="187:190" s="2" customFormat="1" ht="18" customHeight="1" x14ac:dyDescent="0.2">
      <c r="GE245" s="84"/>
      <c r="GF245" s="84"/>
      <c r="GG245" s="84"/>
      <c r="GH245" s="84"/>
    </row>
    <row r="246" spans="187:190" s="2" customFormat="1" ht="18" customHeight="1" x14ac:dyDescent="0.2">
      <c r="GE246" s="84"/>
      <c r="GF246" s="84"/>
      <c r="GG246" s="84"/>
      <c r="GH246" s="84"/>
    </row>
    <row r="247" spans="187:190" s="2" customFormat="1" ht="18" customHeight="1" x14ac:dyDescent="0.2">
      <c r="GE247" s="84"/>
      <c r="GF247" s="84"/>
      <c r="GG247" s="84"/>
      <c r="GH247" s="84"/>
    </row>
    <row r="248" spans="187:190" s="2" customFormat="1" ht="18" customHeight="1" x14ac:dyDescent="0.2">
      <c r="GE248" s="84"/>
      <c r="GF248" s="84"/>
      <c r="GG248" s="84"/>
      <c r="GH248" s="84"/>
    </row>
    <row r="249" spans="187:190" s="2" customFormat="1" ht="18" customHeight="1" x14ac:dyDescent="0.2">
      <c r="GE249" s="84"/>
      <c r="GF249" s="84"/>
      <c r="GG249" s="84"/>
      <c r="GH249" s="84"/>
    </row>
    <row r="250" spans="187:190" s="2" customFormat="1" ht="18" customHeight="1" x14ac:dyDescent="0.2">
      <c r="GE250" s="84"/>
      <c r="GF250" s="84"/>
      <c r="GG250" s="84"/>
      <c r="GH250" s="84"/>
    </row>
    <row r="251" spans="187:190" s="2" customFormat="1" ht="18" customHeight="1" x14ac:dyDescent="0.2">
      <c r="GE251" s="84"/>
      <c r="GF251" s="84"/>
      <c r="GG251" s="84"/>
      <c r="GH251" s="84"/>
    </row>
    <row r="252" spans="187:190" s="2" customFormat="1" ht="18" customHeight="1" x14ac:dyDescent="0.2">
      <c r="GE252" s="84"/>
      <c r="GF252" s="84"/>
      <c r="GG252" s="84"/>
      <c r="GH252" s="84"/>
    </row>
    <row r="253" spans="187:190" s="2" customFormat="1" ht="18" customHeight="1" x14ac:dyDescent="0.2">
      <c r="GE253" s="84"/>
      <c r="GF253" s="84"/>
      <c r="GG253" s="84"/>
      <c r="GH253" s="84"/>
    </row>
    <row r="254" spans="187:190" s="2" customFormat="1" ht="18" customHeight="1" x14ac:dyDescent="0.2">
      <c r="GE254" s="84"/>
      <c r="GF254" s="84"/>
      <c r="GG254" s="84"/>
      <c r="GH254" s="84"/>
    </row>
    <row r="255" spans="187:190" s="2" customFormat="1" ht="18" customHeight="1" x14ac:dyDescent="0.2">
      <c r="GE255" s="84"/>
      <c r="GF255" s="84"/>
      <c r="GG255" s="84"/>
      <c r="GH255" s="84"/>
    </row>
    <row r="256" spans="187:190" s="2" customFormat="1" ht="18" customHeight="1" x14ac:dyDescent="0.2">
      <c r="GE256" s="84"/>
      <c r="GF256" s="84"/>
      <c r="GG256" s="84"/>
      <c r="GH256" s="84"/>
    </row>
    <row r="257" spans="187:190" s="2" customFormat="1" ht="18" customHeight="1" x14ac:dyDescent="0.2">
      <c r="GE257" s="84"/>
      <c r="GF257" s="84"/>
      <c r="GG257" s="84"/>
      <c r="GH257" s="84"/>
    </row>
    <row r="258" spans="187:190" s="2" customFormat="1" ht="18" customHeight="1" x14ac:dyDescent="0.2">
      <c r="GE258" s="84"/>
      <c r="GF258" s="84"/>
      <c r="GG258" s="84"/>
      <c r="GH258" s="84"/>
    </row>
    <row r="259" spans="187:190" s="2" customFormat="1" ht="18" customHeight="1" x14ac:dyDescent="0.2">
      <c r="GE259" s="84"/>
      <c r="GF259" s="84"/>
      <c r="GG259" s="84"/>
      <c r="GH259" s="84"/>
    </row>
    <row r="260" spans="187:190" s="2" customFormat="1" ht="18" customHeight="1" x14ac:dyDescent="0.2">
      <c r="GE260" s="84"/>
      <c r="GF260" s="84"/>
      <c r="GG260" s="84"/>
      <c r="GH260" s="84"/>
    </row>
    <row r="261" spans="187:190" s="2" customFormat="1" ht="18" customHeight="1" x14ac:dyDescent="0.2">
      <c r="GE261" s="84"/>
      <c r="GF261" s="84"/>
      <c r="GG261" s="84"/>
      <c r="GH261" s="84"/>
    </row>
    <row r="262" spans="187:190" s="2" customFormat="1" ht="18" customHeight="1" x14ac:dyDescent="0.2">
      <c r="GE262" s="84"/>
      <c r="GF262" s="84"/>
      <c r="GG262" s="84"/>
      <c r="GH262" s="84"/>
    </row>
    <row r="263" spans="187:190" s="2" customFormat="1" ht="18" customHeight="1" x14ac:dyDescent="0.2">
      <c r="GE263" s="84"/>
      <c r="GF263" s="84"/>
      <c r="GG263" s="84"/>
      <c r="GH263" s="84"/>
    </row>
    <row r="264" spans="187:190" s="2" customFormat="1" ht="18" customHeight="1" x14ac:dyDescent="0.2">
      <c r="GE264" s="84"/>
      <c r="GF264" s="84"/>
      <c r="GG264" s="84"/>
      <c r="GH264" s="84"/>
    </row>
    <row r="265" spans="187:190" s="2" customFormat="1" ht="18" customHeight="1" x14ac:dyDescent="0.2">
      <c r="GE265" s="84"/>
      <c r="GF265" s="84"/>
      <c r="GG265" s="84"/>
      <c r="GH265" s="84"/>
    </row>
    <row r="266" spans="187:190" s="2" customFormat="1" ht="18" customHeight="1" x14ac:dyDescent="0.2">
      <c r="GE266" s="84"/>
      <c r="GF266" s="84"/>
      <c r="GG266" s="84"/>
      <c r="GH266" s="84"/>
    </row>
    <row r="267" spans="187:190" s="2" customFormat="1" ht="18" customHeight="1" x14ac:dyDescent="0.2">
      <c r="GE267" s="84"/>
      <c r="GF267" s="84"/>
      <c r="GG267" s="84"/>
      <c r="GH267" s="84"/>
    </row>
    <row r="268" spans="187:190" s="2" customFormat="1" ht="18" customHeight="1" x14ac:dyDescent="0.2">
      <c r="GE268" s="84"/>
      <c r="GF268" s="84"/>
      <c r="GG268" s="84"/>
      <c r="GH268" s="84"/>
    </row>
    <row r="269" spans="187:190" s="2" customFormat="1" ht="18" customHeight="1" x14ac:dyDescent="0.2">
      <c r="GE269" s="84"/>
      <c r="GF269" s="84"/>
      <c r="GG269" s="84"/>
      <c r="GH269" s="84"/>
    </row>
    <row r="270" spans="187:190" s="2" customFormat="1" ht="18" customHeight="1" x14ac:dyDescent="0.2">
      <c r="GE270" s="84"/>
      <c r="GF270" s="84"/>
      <c r="GG270" s="84"/>
      <c r="GH270" s="84"/>
    </row>
    <row r="271" spans="187:190" s="2" customFormat="1" ht="18" customHeight="1" x14ac:dyDescent="0.2">
      <c r="GE271" s="84"/>
      <c r="GF271" s="84"/>
      <c r="GG271" s="84"/>
      <c r="GH271" s="84"/>
    </row>
    <row r="272" spans="187:190" s="2" customFormat="1" ht="18" customHeight="1" x14ac:dyDescent="0.2">
      <c r="GE272" s="84"/>
      <c r="GF272" s="84"/>
      <c r="GG272" s="84"/>
      <c r="GH272" s="84"/>
    </row>
    <row r="273" spans="187:190" s="2" customFormat="1" ht="18" customHeight="1" x14ac:dyDescent="0.2">
      <c r="GE273" s="84"/>
      <c r="GF273" s="84"/>
      <c r="GG273" s="84"/>
      <c r="GH273" s="84"/>
    </row>
    <row r="274" spans="187:190" s="2" customFormat="1" ht="18" customHeight="1" x14ac:dyDescent="0.2">
      <c r="GE274" s="84"/>
      <c r="GF274" s="84"/>
      <c r="GG274" s="84"/>
      <c r="GH274" s="84"/>
    </row>
    <row r="275" spans="187:190" s="2" customFormat="1" ht="18" customHeight="1" x14ac:dyDescent="0.2">
      <c r="GE275" s="84"/>
      <c r="GF275" s="84"/>
      <c r="GG275" s="84"/>
      <c r="GH275" s="84"/>
    </row>
    <row r="276" spans="187:190" s="2" customFormat="1" ht="18" customHeight="1" x14ac:dyDescent="0.2">
      <c r="GE276" s="84"/>
      <c r="GF276" s="84"/>
      <c r="GG276" s="84"/>
      <c r="GH276" s="84"/>
    </row>
    <row r="277" spans="187:190" s="2" customFormat="1" ht="18" customHeight="1" x14ac:dyDescent="0.2">
      <c r="GE277" s="84"/>
      <c r="GF277" s="84"/>
      <c r="GG277" s="84"/>
      <c r="GH277" s="84"/>
    </row>
    <row r="278" spans="187:190" s="2" customFormat="1" ht="18" customHeight="1" x14ac:dyDescent="0.2">
      <c r="GE278" s="84"/>
      <c r="GF278" s="84"/>
      <c r="GG278" s="84"/>
      <c r="GH278" s="84"/>
    </row>
    <row r="279" spans="187:190" s="2" customFormat="1" ht="18" customHeight="1" x14ac:dyDescent="0.2">
      <c r="GE279" s="84"/>
      <c r="GF279" s="84"/>
      <c r="GG279" s="84"/>
      <c r="GH279" s="84"/>
    </row>
    <row r="280" spans="187:190" s="2" customFormat="1" ht="18" customHeight="1" x14ac:dyDescent="0.2">
      <c r="GE280" s="84"/>
      <c r="GF280" s="84"/>
      <c r="GG280" s="84"/>
      <c r="GH280" s="84"/>
    </row>
    <row r="281" spans="187:190" s="2" customFormat="1" ht="18" customHeight="1" x14ac:dyDescent="0.2">
      <c r="GE281" s="84"/>
      <c r="GF281" s="84"/>
      <c r="GG281" s="84"/>
      <c r="GH281" s="84"/>
    </row>
    <row r="282" spans="187:190" s="2" customFormat="1" ht="18" customHeight="1" x14ac:dyDescent="0.2">
      <c r="GE282" s="84"/>
      <c r="GF282" s="84"/>
      <c r="GG282" s="84"/>
      <c r="GH282" s="84"/>
    </row>
    <row r="283" spans="187:190" s="2" customFormat="1" ht="18" customHeight="1" x14ac:dyDescent="0.2">
      <c r="GE283" s="84"/>
      <c r="GF283" s="84"/>
      <c r="GG283" s="84"/>
      <c r="GH283" s="84"/>
    </row>
    <row r="284" spans="187:190" s="2" customFormat="1" ht="18" customHeight="1" x14ac:dyDescent="0.2">
      <c r="GE284" s="84"/>
      <c r="GF284" s="84"/>
      <c r="GG284" s="84"/>
      <c r="GH284" s="84"/>
    </row>
    <row r="285" spans="187:190" s="2" customFormat="1" ht="18" customHeight="1" x14ac:dyDescent="0.2">
      <c r="GE285" s="84"/>
      <c r="GF285" s="84"/>
      <c r="GG285" s="84"/>
      <c r="GH285" s="84"/>
    </row>
    <row r="286" spans="187:190" s="2" customFormat="1" ht="18" customHeight="1" x14ac:dyDescent="0.2">
      <c r="GE286" s="84"/>
      <c r="GF286" s="84"/>
      <c r="GG286" s="84"/>
      <c r="GH286" s="84"/>
    </row>
    <row r="287" spans="187:190" s="2" customFormat="1" ht="18" customHeight="1" x14ac:dyDescent="0.2">
      <c r="GE287" s="84"/>
      <c r="GF287" s="84"/>
      <c r="GG287" s="84"/>
      <c r="GH287" s="84"/>
    </row>
    <row r="288" spans="187:190" s="2" customFormat="1" ht="18" customHeight="1" x14ac:dyDescent="0.2">
      <c r="GE288" s="84"/>
      <c r="GF288" s="84"/>
      <c r="GG288" s="84"/>
      <c r="GH288" s="84"/>
    </row>
    <row r="289" spans="187:190" s="2" customFormat="1" ht="18" customHeight="1" x14ac:dyDescent="0.2">
      <c r="GE289" s="84"/>
      <c r="GF289" s="84"/>
      <c r="GG289" s="84"/>
      <c r="GH289" s="84"/>
    </row>
    <row r="290" spans="187:190" s="2" customFormat="1" ht="18" customHeight="1" x14ac:dyDescent="0.2">
      <c r="GE290" s="84"/>
      <c r="GF290" s="84"/>
      <c r="GG290" s="84"/>
      <c r="GH290" s="84"/>
    </row>
    <row r="291" spans="187:190" s="2" customFormat="1" ht="18" customHeight="1" x14ac:dyDescent="0.2">
      <c r="GE291" s="84"/>
      <c r="GF291" s="84"/>
      <c r="GG291" s="84"/>
      <c r="GH291" s="84"/>
    </row>
    <row r="292" spans="187:190" s="2" customFormat="1" ht="18" customHeight="1" x14ac:dyDescent="0.2">
      <c r="GE292" s="84"/>
      <c r="GF292" s="84"/>
      <c r="GG292" s="84"/>
      <c r="GH292" s="84"/>
    </row>
    <row r="293" spans="187:190" s="2" customFormat="1" ht="18" customHeight="1" x14ac:dyDescent="0.2">
      <c r="GE293" s="84"/>
      <c r="GF293" s="84"/>
      <c r="GG293" s="84"/>
      <c r="GH293" s="84"/>
    </row>
    <row r="294" spans="187:190" s="2" customFormat="1" ht="18" customHeight="1" x14ac:dyDescent="0.2">
      <c r="GE294" s="84"/>
      <c r="GF294" s="84"/>
      <c r="GG294" s="84"/>
      <c r="GH294" s="84"/>
    </row>
    <row r="295" spans="187:190" s="2" customFormat="1" ht="18" customHeight="1" x14ac:dyDescent="0.2">
      <c r="GE295" s="84"/>
      <c r="GF295" s="84"/>
      <c r="GG295" s="84"/>
      <c r="GH295" s="84"/>
    </row>
    <row r="296" spans="187:190" s="2" customFormat="1" ht="18" customHeight="1" x14ac:dyDescent="0.2">
      <c r="GE296" s="84"/>
      <c r="GF296" s="84"/>
      <c r="GG296" s="84"/>
      <c r="GH296" s="84"/>
    </row>
    <row r="297" spans="187:190" s="2" customFormat="1" ht="18" customHeight="1" x14ac:dyDescent="0.2">
      <c r="GE297" s="84"/>
      <c r="GF297" s="84"/>
      <c r="GG297" s="84"/>
      <c r="GH297" s="84"/>
    </row>
    <row r="298" spans="187:190" s="2" customFormat="1" ht="18" customHeight="1" x14ac:dyDescent="0.2">
      <c r="GE298" s="84"/>
      <c r="GF298" s="84"/>
      <c r="GG298" s="84"/>
      <c r="GH298" s="84"/>
    </row>
    <row r="299" spans="187:190" s="2" customFormat="1" ht="18" customHeight="1" x14ac:dyDescent="0.2">
      <c r="GE299" s="84"/>
      <c r="GF299" s="84"/>
      <c r="GG299" s="84"/>
      <c r="GH299" s="84"/>
    </row>
    <row r="300" spans="187:190" s="2" customFormat="1" ht="18" customHeight="1" x14ac:dyDescent="0.2">
      <c r="GE300" s="84"/>
      <c r="GF300" s="84"/>
      <c r="GG300" s="84"/>
      <c r="GH300" s="84"/>
    </row>
    <row r="301" spans="187:190" s="2" customFormat="1" ht="18" customHeight="1" x14ac:dyDescent="0.2">
      <c r="GE301" s="84"/>
      <c r="GF301" s="84"/>
      <c r="GG301" s="84"/>
      <c r="GH301" s="84"/>
    </row>
    <row r="302" spans="187:190" s="2" customFormat="1" ht="18" customHeight="1" x14ac:dyDescent="0.2">
      <c r="GE302" s="84"/>
      <c r="GF302" s="84"/>
      <c r="GG302" s="84"/>
      <c r="GH302" s="84"/>
    </row>
    <row r="303" spans="187:190" s="2" customFormat="1" ht="18" customHeight="1" x14ac:dyDescent="0.2">
      <c r="GE303" s="84"/>
      <c r="GF303" s="84"/>
      <c r="GG303" s="84"/>
      <c r="GH303" s="84"/>
    </row>
    <row r="304" spans="187:190" s="2" customFormat="1" ht="18" customHeight="1" x14ac:dyDescent="0.2">
      <c r="GE304" s="84"/>
      <c r="GF304" s="84"/>
      <c r="GG304" s="84"/>
      <c r="GH304" s="84"/>
    </row>
    <row r="305" spans="187:190" s="2" customFormat="1" ht="18" customHeight="1" x14ac:dyDescent="0.2">
      <c r="GE305" s="84"/>
      <c r="GF305" s="84"/>
      <c r="GG305" s="84"/>
      <c r="GH305" s="84"/>
    </row>
    <row r="306" spans="187:190" s="2" customFormat="1" ht="18" customHeight="1" x14ac:dyDescent="0.2">
      <c r="GE306" s="84"/>
      <c r="GF306" s="84"/>
      <c r="GG306" s="84"/>
      <c r="GH306" s="84"/>
    </row>
    <row r="307" spans="187:190" s="2" customFormat="1" ht="18" customHeight="1" x14ac:dyDescent="0.2">
      <c r="GE307" s="84"/>
      <c r="GF307" s="84"/>
      <c r="GG307" s="84"/>
      <c r="GH307" s="84"/>
    </row>
    <row r="308" spans="187:190" s="2" customFormat="1" ht="18" customHeight="1" x14ac:dyDescent="0.2">
      <c r="GE308" s="84"/>
      <c r="GF308" s="84"/>
      <c r="GG308" s="84"/>
      <c r="GH308" s="84"/>
    </row>
    <row r="309" spans="187:190" s="2" customFormat="1" ht="18" customHeight="1" x14ac:dyDescent="0.2">
      <c r="GE309" s="84"/>
      <c r="GF309" s="84"/>
      <c r="GG309" s="84"/>
      <c r="GH309" s="84"/>
    </row>
    <row r="310" spans="187:190" s="2" customFormat="1" ht="18" customHeight="1" x14ac:dyDescent="0.2">
      <c r="GE310" s="84"/>
      <c r="GF310" s="84"/>
      <c r="GG310" s="84"/>
      <c r="GH310" s="84"/>
    </row>
    <row r="311" spans="187:190" s="2" customFormat="1" ht="18" customHeight="1" x14ac:dyDescent="0.2">
      <c r="GE311" s="84"/>
      <c r="GF311" s="84"/>
      <c r="GG311" s="84"/>
      <c r="GH311" s="84"/>
    </row>
    <row r="312" spans="187:190" s="2" customFormat="1" ht="18" customHeight="1" x14ac:dyDescent="0.2">
      <c r="GE312" s="84"/>
      <c r="GF312" s="84"/>
      <c r="GG312" s="84"/>
      <c r="GH312" s="84"/>
    </row>
    <row r="313" spans="187:190" s="2" customFormat="1" ht="18" customHeight="1" x14ac:dyDescent="0.2">
      <c r="GE313" s="84"/>
      <c r="GF313" s="84"/>
      <c r="GG313" s="84"/>
      <c r="GH313" s="84"/>
    </row>
    <row r="314" spans="187:190" s="2" customFormat="1" ht="18" customHeight="1" x14ac:dyDescent="0.2">
      <c r="GE314" s="84"/>
      <c r="GF314" s="84"/>
      <c r="GG314" s="84"/>
      <c r="GH314" s="84"/>
    </row>
    <row r="315" spans="187:190" s="2" customFormat="1" ht="18" customHeight="1" x14ac:dyDescent="0.2">
      <c r="GE315" s="84"/>
      <c r="GF315" s="84"/>
      <c r="GG315" s="84"/>
      <c r="GH315" s="84"/>
    </row>
    <row r="316" spans="187:190" s="2" customFormat="1" ht="18" customHeight="1" x14ac:dyDescent="0.2">
      <c r="GE316" s="84"/>
      <c r="GF316" s="84"/>
      <c r="GG316" s="84"/>
      <c r="GH316" s="84"/>
    </row>
    <row r="317" spans="187:190" s="2" customFormat="1" ht="18" customHeight="1" x14ac:dyDescent="0.2">
      <c r="GE317" s="84"/>
      <c r="GF317" s="84"/>
      <c r="GG317" s="84"/>
      <c r="GH317" s="84"/>
    </row>
    <row r="318" spans="187:190" s="2" customFormat="1" ht="18" customHeight="1" x14ac:dyDescent="0.2">
      <c r="GE318" s="84"/>
      <c r="GF318" s="84"/>
      <c r="GG318" s="84"/>
      <c r="GH318" s="84"/>
    </row>
    <row r="319" spans="187:190" s="2" customFormat="1" ht="18" customHeight="1" x14ac:dyDescent="0.2">
      <c r="GE319" s="84"/>
      <c r="GF319" s="84"/>
      <c r="GG319" s="84"/>
      <c r="GH319" s="84"/>
    </row>
    <row r="320" spans="187:190" s="2" customFormat="1" ht="18" customHeight="1" x14ac:dyDescent="0.2">
      <c r="GE320" s="84"/>
      <c r="GF320" s="84"/>
      <c r="GG320" s="84"/>
      <c r="GH320" s="84"/>
    </row>
    <row r="321" spans="187:190" s="2" customFormat="1" ht="18" customHeight="1" x14ac:dyDescent="0.2">
      <c r="GE321" s="84"/>
      <c r="GF321" s="84"/>
      <c r="GG321" s="84"/>
      <c r="GH321" s="84"/>
    </row>
    <row r="322" spans="187:190" s="2" customFormat="1" ht="18" customHeight="1" x14ac:dyDescent="0.2">
      <c r="GE322" s="84"/>
      <c r="GF322" s="84"/>
      <c r="GG322" s="84"/>
      <c r="GH322" s="84"/>
    </row>
    <row r="323" spans="187:190" s="2" customFormat="1" ht="18" customHeight="1" x14ac:dyDescent="0.2">
      <c r="GE323" s="84"/>
      <c r="GF323" s="84"/>
      <c r="GG323" s="84"/>
      <c r="GH323" s="84"/>
    </row>
    <row r="324" spans="187:190" s="2" customFormat="1" ht="18" customHeight="1" x14ac:dyDescent="0.2">
      <c r="GE324" s="84"/>
      <c r="GF324" s="84"/>
      <c r="GG324" s="84"/>
      <c r="GH324" s="84"/>
    </row>
    <row r="325" spans="187:190" s="2" customFormat="1" ht="18" customHeight="1" x14ac:dyDescent="0.2">
      <c r="GE325" s="84"/>
      <c r="GF325" s="84"/>
      <c r="GG325" s="84"/>
      <c r="GH325" s="84"/>
    </row>
    <row r="326" spans="187:190" s="2" customFormat="1" ht="18" customHeight="1" x14ac:dyDescent="0.2">
      <c r="GE326" s="84"/>
      <c r="GF326" s="84"/>
      <c r="GG326" s="84"/>
      <c r="GH326" s="84"/>
    </row>
    <row r="327" spans="187:190" s="2" customFormat="1" ht="18" customHeight="1" x14ac:dyDescent="0.2">
      <c r="GE327" s="84"/>
      <c r="GF327" s="84"/>
      <c r="GG327" s="84"/>
      <c r="GH327" s="84"/>
    </row>
    <row r="328" spans="187:190" s="2" customFormat="1" ht="18" customHeight="1" x14ac:dyDescent="0.2">
      <c r="GE328" s="84"/>
      <c r="GF328" s="84"/>
      <c r="GG328" s="84"/>
      <c r="GH328" s="84"/>
    </row>
    <row r="329" spans="187:190" s="2" customFormat="1" ht="18" customHeight="1" x14ac:dyDescent="0.2">
      <c r="GE329" s="84"/>
      <c r="GF329" s="84"/>
      <c r="GG329" s="84"/>
      <c r="GH329" s="84"/>
    </row>
    <row r="330" spans="187:190" s="2" customFormat="1" ht="18" customHeight="1" x14ac:dyDescent="0.2">
      <c r="GE330" s="84"/>
      <c r="GF330" s="84"/>
      <c r="GG330" s="84"/>
      <c r="GH330" s="84"/>
    </row>
    <row r="331" spans="187:190" s="2" customFormat="1" ht="18" customHeight="1" x14ac:dyDescent="0.2">
      <c r="GE331" s="84"/>
      <c r="GF331" s="84"/>
      <c r="GG331" s="84"/>
      <c r="GH331" s="84"/>
    </row>
    <row r="332" spans="187:190" s="2" customFormat="1" ht="18" customHeight="1" x14ac:dyDescent="0.2">
      <c r="GE332" s="84"/>
      <c r="GF332" s="84"/>
      <c r="GG332" s="84"/>
      <c r="GH332" s="84"/>
    </row>
    <row r="333" spans="187:190" s="2" customFormat="1" ht="18" customHeight="1" x14ac:dyDescent="0.2">
      <c r="GE333" s="84"/>
      <c r="GF333" s="84"/>
      <c r="GG333" s="84"/>
      <c r="GH333" s="84"/>
    </row>
    <row r="334" spans="187:190" s="2" customFormat="1" ht="18" customHeight="1" x14ac:dyDescent="0.2">
      <c r="GE334" s="84"/>
      <c r="GF334" s="84"/>
      <c r="GG334" s="84"/>
      <c r="GH334" s="84"/>
    </row>
    <row r="335" spans="187:190" s="2" customFormat="1" ht="18" customHeight="1" x14ac:dyDescent="0.2">
      <c r="GE335" s="84"/>
      <c r="GF335" s="84"/>
      <c r="GG335" s="84"/>
      <c r="GH335" s="84"/>
    </row>
    <row r="336" spans="187:190" s="2" customFormat="1" ht="18" customHeight="1" x14ac:dyDescent="0.2">
      <c r="GE336" s="84"/>
      <c r="GF336" s="84"/>
      <c r="GG336" s="84"/>
      <c r="GH336" s="84"/>
    </row>
    <row r="337" spans="187:190" s="2" customFormat="1" ht="18" customHeight="1" x14ac:dyDescent="0.2">
      <c r="GE337" s="84"/>
      <c r="GF337" s="84"/>
      <c r="GG337" s="84"/>
      <c r="GH337" s="84"/>
    </row>
    <row r="338" spans="187:190" s="2" customFormat="1" ht="18" customHeight="1" x14ac:dyDescent="0.2">
      <c r="GE338" s="84"/>
      <c r="GF338" s="84"/>
      <c r="GG338" s="84"/>
      <c r="GH338" s="84"/>
    </row>
    <row r="339" spans="187:190" s="2" customFormat="1" ht="18" customHeight="1" x14ac:dyDescent="0.2">
      <c r="GE339" s="84"/>
      <c r="GF339" s="84"/>
      <c r="GG339" s="84"/>
      <c r="GH339" s="84"/>
    </row>
    <row r="340" spans="187:190" s="2" customFormat="1" ht="18" customHeight="1" x14ac:dyDescent="0.2">
      <c r="GE340" s="84"/>
      <c r="GF340" s="84"/>
      <c r="GG340" s="84"/>
      <c r="GH340" s="84"/>
    </row>
    <row r="341" spans="187:190" s="2" customFormat="1" ht="18" customHeight="1" x14ac:dyDescent="0.2">
      <c r="GE341" s="84"/>
      <c r="GF341" s="84"/>
      <c r="GG341" s="84"/>
      <c r="GH341" s="84"/>
    </row>
    <row r="342" spans="187:190" s="2" customFormat="1" ht="18" customHeight="1" x14ac:dyDescent="0.2">
      <c r="GE342" s="84"/>
      <c r="GF342" s="84"/>
      <c r="GG342" s="84"/>
      <c r="GH342" s="84"/>
    </row>
    <row r="343" spans="187:190" s="2" customFormat="1" ht="18" customHeight="1" x14ac:dyDescent="0.2">
      <c r="GE343" s="84"/>
      <c r="GF343" s="84"/>
      <c r="GG343" s="84"/>
      <c r="GH343" s="84"/>
    </row>
    <row r="344" spans="187:190" s="2" customFormat="1" ht="18" customHeight="1" x14ac:dyDescent="0.2">
      <c r="GE344" s="84"/>
      <c r="GF344" s="84"/>
      <c r="GG344" s="84"/>
      <c r="GH344" s="84"/>
    </row>
    <row r="345" spans="187:190" s="2" customFormat="1" ht="18" customHeight="1" x14ac:dyDescent="0.2">
      <c r="GE345" s="84"/>
      <c r="GF345" s="84"/>
      <c r="GG345" s="84"/>
      <c r="GH345" s="84"/>
    </row>
    <row r="346" spans="187:190" s="2" customFormat="1" ht="18" customHeight="1" x14ac:dyDescent="0.2">
      <c r="GE346" s="84"/>
      <c r="GF346" s="84"/>
      <c r="GG346" s="84"/>
      <c r="GH346" s="84"/>
    </row>
    <row r="347" spans="187:190" s="2" customFormat="1" ht="18" customHeight="1" x14ac:dyDescent="0.2">
      <c r="GE347" s="84"/>
      <c r="GF347" s="84"/>
      <c r="GG347" s="84"/>
      <c r="GH347" s="84"/>
    </row>
    <row r="348" spans="187:190" s="2" customFormat="1" ht="18" customHeight="1" x14ac:dyDescent="0.2">
      <c r="GE348" s="84"/>
      <c r="GF348" s="84"/>
      <c r="GG348" s="84"/>
      <c r="GH348" s="84"/>
    </row>
    <row r="349" spans="187:190" s="2" customFormat="1" ht="18" customHeight="1" x14ac:dyDescent="0.2">
      <c r="GE349" s="84"/>
      <c r="GF349" s="84"/>
      <c r="GG349" s="84"/>
      <c r="GH349" s="84"/>
    </row>
    <row r="350" spans="187:190" s="2" customFormat="1" ht="18" customHeight="1" x14ac:dyDescent="0.2">
      <c r="GE350" s="84"/>
      <c r="GF350" s="84"/>
      <c r="GG350" s="84"/>
      <c r="GH350" s="84"/>
    </row>
    <row r="351" spans="187:190" s="2" customFormat="1" ht="18" customHeight="1" x14ac:dyDescent="0.2">
      <c r="GE351" s="84"/>
      <c r="GF351" s="84"/>
      <c r="GG351" s="84"/>
      <c r="GH351" s="84"/>
    </row>
    <row r="352" spans="187:190" s="2" customFormat="1" ht="18" customHeight="1" x14ac:dyDescent="0.2">
      <c r="GE352" s="84"/>
      <c r="GF352" s="84"/>
      <c r="GG352" s="84"/>
      <c r="GH352" s="84"/>
    </row>
    <row r="353" spans="187:190" s="2" customFormat="1" ht="18" customHeight="1" x14ac:dyDescent="0.2">
      <c r="GE353" s="84"/>
      <c r="GF353" s="84"/>
      <c r="GG353" s="84"/>
      <c r="GH353" s="84"/>
    </row>
    <row r="354" spans="187:190" s="2" customFormat="1" ht="18" customHeight="1" x14ac:dyDescent="0.2">
      <c r="GE354" s="84"/>
      <c r="GF354" s="84"/>
      <c r="GG354" s="84"/>
      <c r="GH354" s="84"/>
    </row>
    <row r="355" spans="187:190" s="2" customFormat="1" ht="18" customHeight="1" x14ac:dyDescent="0.2">
      <c r="GE355" s="84"/>
      <c r="GF355" s="84"/>
      <c r="GG355" s="84"/>
      <c r="GH355" s="84"/>
    </row>
    <row r="356" spans="187:190" s="2" customFormat="1" ht="18" customHeight="1" x14ac:dyDescent="0.2">
      <c r="GE356" s="84"/>
      <c r="GF356" s="84"/>
      <c r="GG356" s="84"/>
      <c r="GH356" s="84"/>
    </row>
    <row r="357" spans="187:190" s="2" customFormat="1" ht="18" customHeight="1" x14ac:dyDescent="0.2">
      <c r="GE357" s="84"/>
      <c r="GF357" s="84"/>
      <c r="GG357" s="84"/>
      <c r="GH357" s="84"/>
    </row>
    <row r="358" spans="187:190" s="2" customFormat="1" ht="18" customHeight="1" x14ac:dyDescent="0.2">
      <c r="GE358" s="84"/>
      <c r="GF358" s="84"/>
      <c r="GG358" s="84"/>
      <c r="GH358" s="84"/>
    </row>
    <row r="359" spans="187:190" s="2" customFormat="1" ht="18" customHeight="1" x14ac:dyDescent="0.2">
      <c r="GE359" s="84"/>
      <c r="GF359" s="84"/>
      <c r="GG359" s="84"/>
      <c r="GH359" s="84"/>
    </row>
    <row r="360" spans="187:190" s="2" customFormat="1" ht="18" customHeight="1" x14ac:dyDescent="0.2">
      <c r="GE360" s="84"/>
      <c r="GF360" s="84"/>
      <c r="GG360" s="84"/>
      <c r="GH360" s="84"/>
    </row>
    <row r="361" spans="187:190" s="2" customFormat="1" ht="18" customHeight="1" x14ac:dyDescent="0.2">
      <c r="GE361" s="84"/>
      <c r="GF361" s="84"/>
      <c r="GG361" s="84"/>
      <c r="GH361" s="84"/>
    </row>
    <row r="362" spans="187:190" s="2" customFormat="1" ht="18" customHeight="1" x14ac:dyDescent="0.2">
      <c r="GE362" s="84"/>
      <c r="GF362" s="84"/>
      <c r="GG362" s="84"/>
      <c r="GH362" s="84"/>
    </row>
    <row r="363" spans="187:190" s="2" customFormat="1" ht="18" customHeight="1" x14ac:dyDescent="0.2">
      <c r="GE363" s="84"/>
      <c r="GF363" s="84"/>
      <c r="GG363" s="84"/>
      <c r="GH363" s="84"/>
    </row>
    <row r="364" spans="187:190" s="2" customFormat="1" ht="18" customHeight="1" x14ac:dyDescent="0.2">
      <c r="GE364" s="84"/>
      <c r="GF364" s="84"/>
      <c r="GG364" s="84"/>
      <c r="GH364" s="84"/>
    </row>
    <row r="365" spans="187:190" s="2" customFormat="1" ht="18" customHeight="1" x14ac:dyDescent="0.2">
      <c r="GE365" s="84"/>
      <c r="GF365" s="84"/>
      <c r="GG365" s="84"/>
      <c r="GH365" s="84"/>
    </row>
    <row r="366" spans="187:190" s="2" customFormat="1" ht="18" customHeight="1" x14ac:dyDescent="0.2">
      <c r="GE366" s="84"/>
      <c r="GF366" s="84"/>
      <c r="GG366" s="84"/>
      <c r="GH366" s="84"/>
    </row>
    <row r="367" spans="187:190" s="2" customFormat="1" ht="18" customHeight="1" x14ac:dyDescent="0.2">
      <c r="GE367" s="84"/>
      <c r="GF367" s="84"/>
      <c r="GG367" s="84"/>
      <c r="GH367" s="84"/>
    </row>
    <row r="368" spans="187:190" s="2" customFormat="1" ht="18" customHeight="1" x14ac:dyDescent="0.2">
      <c r="GE368" s="84"/>
      <c r="GF368" s="84"/>
      <c r="GG368" s="84"/>
      <c r="GH368" s="84"/>
    </row>
    <row r="369" spans="187:190" s="2" customFormat="1" ht="18" customHeight="1" x14ac:dyDescent="0.2">
      <c r="GE369" s="84"/>
      <c r="GF369" s="84"/>
      <c r="GG369" s="84"/>
      <c r="GH369" s="84"/>
    </row>
    <row r="370" spans="187:190" s="2" customFormat="1" ht="18" customHeight="1" x14ac:dyDescent="0.2">
      <c r="GE370" s="84"/>
      <c r="GF370" s="84"/>
      <c r="GG370" s="84"/>
      <c r="GH370" s="84"/>
    </row>
    <row r="371" spans="187:190" s="2" customFormat="1" ht="18" customHeight="1" x14ac:dyDescent="0.2">
      <c r="GE371" s="84"/>
      <c r="GF371" s="84"/>
      <c r="GG371" s="84"/>
      <c r="GH371" s="84"/>
    </row>
    <row r="372" spans="187:190" s="2" customFormat="1" ht="18" customHeight="1" x14ac:dyDescent="0.2">
      <c r="GE372" s="84"/>
      <c r="GF372" s="84"/>
      <c r="GG372" s="84"/>
      <c r="GH372" s="84"/>
    </row>
    <row r="373" spans="187:190" s="2" customFormat="1" ht="18" customHeight="1" x14ac:dyDescent="0.2">
      <c r="GE373" s="84"/>
      <c r="GF373" s="84"/>
      <c r="GG373" s="84"/>
      <c r="GH373" s="84"/>
    </row>
    <row r="374" spans="187:190" s="2" customFormat="1" ht="18" customHeight="1" x14ac:dyDescent="0.2">
      <c r="GE374" s="84"/>
      <c r="GF374" s="84"/>
      <c r="GG374" s="84"/>
      <c r="GH374" s="84"/>
    </row>
    <row r="375" spans="187:190" s="2" customFormat="1" ht="18" customHeight="1" x14ac:dyDescent="0.2">
      <c r="GE375" s="84"/>
      <c r="GF375" s="84"/>
      <c r="GG375" s="84"/>
      <c r="GH375" s="84"/>
    </row>
    <row r="376" spans="187:190" s="2" customFormat="1" ht="18" customHeight="1" x14ac:dyDescent="0.2">
      <c r="GE376" s="84"/>
      <c r="GF376" s="84"/>
      <c r="GG376" s="84"/>
      <c r="GH376" s="84"/>
    </row>
    <row r="377" spans="187:190" s="2" customFormat="1" ht="18" customHeight="1" x14ac:dyDescent="0.2">
      <c r="GE377" s="84"/>
      <c r="GF377" s="84"/>
      <c r="GG377" s="84"/>
      <c r="GH377" s="84"/>
    </row>
    <row r="378" spans="187:190" s="2" customFormat="1" ht="18" customHeight="1" x14ac:dyDescent="0.2">
      <c r="GE378" s="84"/>
      <c r="GF378" s="84"/>
      <c r="GG378" s="84"/>
      <c r="GH378" s="84"/>
    </row>
    <row r="379" spans="187:190" s="2" customFormat="1" ht="18" customHeight="1" x14ac:dyDescent="0.2">
      <c r="GE379" s="84"/>
      <c r="GF379" s="84"/>
      <c r="GG379" s="84"/>
      <c r="GH379" s="84"/>
    </row>
    <row r="380" spans="187:190" s="2" customFormat="1" ht="18" customHeight="1" x14ac:dyDescent="0.2">
      <c r="GE380" s="84"/>
      <c r="GF380" s="84"/>
      <c r="GG380" s="84"/>
      <c r="GH380" s="84"/>
    </row>
    <row r="381" spans="187:190" s="2" customFormat="1" ht="18" customHeight="1" x14ac:dyDescent="0.2">
      <c r="GE381" s="84"/>
      <c r="GF381" s="84"/>
      <c r="GG381" s="84"/>
      <c r="GH381" s="84"/>
    </row>
    <row r="382" spans="187:190" s="2" customFormat="1" ht="18" customHeight="1" x14ac:dyDescent="0.2">
      <c r="GE382" s="84"/>
      <c r="GF382" s="84"/>
      <c r="GG382" s="84"/>
      <c r="GH382" s="84"/>
    </row>
    <row r="383" spans="187:190" s="2" customFormat="1" ht="18" customHeight="1" x14ac:dyDescent="0.2">
      <c r="GE383" s="84"/>
      <c r="GF383" s="84"/>
      <c r="GG383" s="84"/>
      <c r="GH383" s="84"/>
    </row>
    <row r="384" spans="187:190" s="2" customFormat="1" ht="18" customHeight="1" x14ac:dyDescent="0.2">
      <c r="GE384" s="84"/>
      <c r="GF384" s="84"/>
      <c r="GG384" s="84"/>
      <c r="GH384" s="84"/>
    </row>
    <row r="385" spans="187:190" s="2" customFormat="1" ht="18" customHeight="1" x14ac:dyDescent="0.2">
      <c r="GE385" s="84"/>
      <c r="GF385" s="84"/>
      <c r="GG385" s="84"/>
      <c r="GH385" s="84"/>
    </row>
    <row r="386" spans="187:190" s="2" customFormat="1" ht="18" customHeight="1" x14ac:dyDescent="0.2">
      <c r="GE386" s="84"/>
      <c r="GF386" s="84"/>
      <c r="GG386" s="84"/>
      <c r="GH386" s="84"/>
    </row>
    <row r="387" spans="187:190" s="2" customFormat="1" ht="18" customHeight="1" x14ac:dyDescent="0.2">
      <c r="GE387" s="84"/>
      <c r="GF387" s="84"/>
      <c r="GG387" s="84"/>
      <c r="GH387" s="84"/>
    </row>
    <row r="388" spans="187:190" s="2" customFormat="1" ht="18" customHeight="1" x14ac:dyDescent="0.2">
      <c r="GE388" s="84"/>
      <c r="GF388" s="84"/>
      <c r="GG388" s="84"/>
      <c r="GH388" s="84"/>
    </row>
    <row r="389" spans="187:190" s="2" customFormat="1" ht="18" customHeight="1" x14ac:dyDescent="0.2">
      <c r="GE389" s="84"/>
      <c r="GF389" s="84"/>
      <c r="GG389" s="84"/>
      <c r="GH389" s="84"/>
    </row>
    <row r="390" spans="187:190" s="2" customFormat="1" ht="18" customHeight="1" x14ac:dyDescent="0.2">
      <c r="GE390" s="84"/>
      <c r="GF390" s="84"/>
      <c r="GG390" s="84"/>
      <c r="GH390" s="84"/>
    </row>
    <row r="391" spans="187:190" s="2" customFormat="1" ht="18" customHeight="1" x14ac:dyDescent="0.2">
      <c r="GE391" s="84"/>
      <c r="GF391" s="84"/>
      <c r="GG391" s="84"/>
      <c r="GH391" s="84"/>
    </row>
    <row r="392" spans="187:190" s="2" customFormat="1" ht="18" customHeight="1" x14ac:dyDescent="0.2">
      <c r="GE392" s="84"/>
      <c r="GF392" s="84"/>
      <c r="GG392" s="84"/>
      <c r="GH392" s="84"/>
    </row>
    <row r="393" spans="187:190" s="2" customFormat="1" ht="18" customHeight="1" x14ac:dyDescent="0.2">
      <c r="GE393" s="84"/>
      <c r="GF393" s="84"/>
      <c r="GG393" s="84"/>
      <c r="GH393" s="84"/>
    </row>
    <row r="394" spans="187:190" s="2" customFormat="1" ht="18" customHeight="1" x14ac:dyDescent="0.2">
      <c r="GE394" s="84"/>
      <c r="GF394" s="84"/>
      <c r="GG394" s="84"/>
      <c r="GH394" s="84"/>
    </row>
    <row r="395" spans="187:190" s="2" customFormat="1" ht="18" customHeight="1" x14ac:dyDescent="0.2">
      <c r="GE395" s="84"/>
      <c r="GF395" s="84"/>
      <c r="GG395" s="84"/>
      <c r="GH395" s="84"/>
    </row>
    <row r="396" spans="187:190" s="2" customFormat="1" ht="18" customHeight="1" x14ac:dyDescent="0.2">
      <c r="GE396" s="84"/>
      <c r="GF396" s="84"/>
      <c r="GG396" s="84"/>
      <c r="GH396" s="84"/>
    </row>
    <row r="397" spans="187:190" s="2" customFormat="1" ht="18" customHeight="1" x14ac:dyDescent="0.2">
      <c r="GE397" s="84"/>
      <c r="GF397" s="84"/>
      <c r="GG397" s="84"/>
      <c r="GH397" s="84"/>
    </row>
    <row r="398" spans="187:190" s="2" customFormat="1" ht="18" customHeight="1" x14ac:dyDescent="0.2">
      <c r="GE398" s="84"/>
      <c r="GF398" s="84"/>
      <c r="GG398" s="84"/>
      <c r="GH398" s="84"/>
    </row>
    <row r="399" spans="187:190" s="2" customFormat="1" ht="18" customHeight="1" x14ac:dyDescent="0.2">
      <c r="GE399" s="84"/>
      <c r="GF399" s="84"/>
      <c r="GG399" s="84"/>
      <c r="GH399" s="84"/>
    </row>
    <row r="400" spans="187:190" s="2" customFormat="1" ht="18" customHeight="1" x14ac:dyDescent="0.2">
      <c r="GE400" s="84"/>
      <c r="GF400" s="84"/>
      <c r="GG400" s="84"/>
      <c r="GH400" s="84"/>
    </row>
    <row r="401" spans="187:190" s="2" customFormat="1" ht="18" customHeight="1" x14ac:dyDescent="0.2">
      <c r="GE401" s="84"/>
      <c r="GF401" s="84"/>
      <c r="GG401" s="84"/>
      <c r="GH401" s="84"/>
    </row>
    <row r="402" spans="187:190" s="2" customFormat="1" ht="18" customHeight="1" x14ac:dyDescent="0.2">
      <c r="GE402" s="84"/>
      <c r="GF402" s="84"/>
      <c r="GG402" s="84"/>
      <c r="GH402" s="84"/>
    </row>
    <row r="403" spans="187:190" s="2" customFormat="1" ht="18" customHeight="1" x14ac:dyDescent="0.2">
      <c r="GE403" s="84"/>
      <c r="GF403" s="84"/>
      <c r="GG403" s="84"/>
      <c r="GH403" s="84"/>
    </row>
    <row r="404" spans="187:190" s="2" customFormat="1" ht="18" customHeight="1" x14ac:dyDescent="0.2">
      <c r="GE404" s="84"/>
      <c r="GF404" s="84"/>
      <c r="GG404" s="84"/>
      <c r="GH404" s="84"/>
    </row>
    <row r="405" spans="187:190" s="2" customFormat="1" ht="18" customHeight="1" x14ac:dyDescent="0.2">
      <c r="GE405" s="84"/>
      <c r="GF405" s="84"/>
      <c r="GG405" s="84"/>
      <c r="GH405" s="84"/>
    </row>
    <row r="406" spans="187:190" s="2" customFormat="1" ht="18" customHeight="1" x14ac:dyDescent="0.2">
      <c r="GE406" s="84"/>
      <c r="GF406" s="84"/>
      <c r="GG406" s="84"/>
      <c r="GH406" s="84"/>
    </row>
    <row r="407" spans="187:190" s="2" customFormat="1" ht="18" customHeight="1" x14ac:dyDescent="0.2">
      <c r="GE407" s="84"/>
      <c r="GF407" s="84"/>
      <c r="GG407" s="84"/>
      <c r="GH407" s="84"/>
    </row>
    <row r="408" spans="187:190" s="2" customFormat="1" ht="18" customHeight="1" x14ac:dyDescent="0.2">
      <c r="GE408" s="84"/>
      <c r="GF408" s="84"/>
      <c r="GG408" s="84"/>
      <c r="GH408" s="84"/>
    </row>
    <row r="409" spans="187:190" s="2" customFormat="1" ht="18" customHeight="1" x14ac:dyDescent="0.2">
      <c r="GE409" s="84"/>
      <c r="GF409" s="84"/>
      <c r="GG409" s="84"/>
      <c r="GH409" s="84"/>
    </row>
    <row r="410" spans="187:190" s="2" customFormat="1" ht="18" customHeight="1" x14ac:dyDescent="0.2">
      <c r="GE410" s="84"/>
      <c r="GF410" s="84"/>
      <c r="GG410" s="84"/>
      <c r="GH410" s="84"/>
    </row>
    <row r="411" spans="187:190" s="2" customFormat="1" ht="18" customHeight="1" x14ac:dyDescent="0.2">
      <c r="GE411" s="84"/>
      <c r="GF411" s="84"/>
      <c r="GG411" s="84"/>
      <c r="GH411" s="84"/>
    </row>
    <row r="412" spans="187:190" s="2" customFormat="1" ht="18" customHeight="1" x14ac:dyDescent="0.2">
      <c r="GE412" s="84"/>
      <c r="GF412" s="84"/>
      <c r="GG412" s="84"/>
      <c r="GH412" s="84"/>
    </row>
    <row r="413" spans="187:190" s="2" customFormat="1" ht="18" customHeight="1" x14ac:dyDescent="0.2">
      <c r="GE413" s="84"/>
      <c r="GF413" s="84"/>
      <c r="GG413" s="84"/>
      <c r="GH413" s="84"/>
    </row>
    <row r="414" spans="187:190" s="2" customFormat="1" ht="18" customHeight="1" x14ac:dyDescent="0.2">
      <c r="GE414" s="84"/>
      <c r="GF414" s="84"/>
      <c r="GG414" s="84"/>
      <c r="GH414" s="84"/>
    </row>
    <row r="415" spans="187:190" s="2" customFormat="1" ht="18" customHeight="1" x14ac:dyDescent="0.2">
      <c r="GE415" s="84"/>
      <c r="GF415" s="84"/>
      <c r="GG415" s="84"/>
      <c r="GH415" s="84"/>
    </row>
    <row r="416" spans="187:190" s="2" customFormat="1" ht="18" customHeight="1" x14ac:dyDescent="0.2">
      <c r="GE416" s="84"/>
      <c r="GF416" s="84"/>
      <c r="GG416" s="84"/>
      <c r="GH416" s="84"/>
    </row>
    <row r="417" spans="187:190" s="2" customFormat="1" ht="18" customHeight="1" x14ac:dyDescent="0.2">
      <c r="GE417" s="84"/>
      <c r="GF417" s="84"/>
      <c r="GG417" s="84"/>
      <c r="GH417" s="84"/>
    </row>
    <row r="418" spans="187:190" s="2" customFormat="1" ht="18" customHeight="1" x14ac:dyDescent="0.2">
      <c r="GE418" s="84"/>
      <c r="GF418" s="84"/>
      <c r="GG418" s="84"/>
      <c r="GH418" s="84"/>
    </row>
    <row r="419" spans="187:190" s="2" customFormat="1" ht="18" customHeight="1" x14ac:dyDescent="0.2">
      <c r="GE419" s="84"/>
      <c r="GF419" s="84"/>
      <c r="GG419" s="84"/>
      <c r="GH419" s="84"/>
    </row>
    <row r="420" spans="187:190" s="2" customFormat="1" ht="18" customHeight="1" x14ac:dyDescent="0.2">
      <c r="GE420" s="84"/>
      <c r="GF420" s="84"/>
      <c r="GG420" s="84"/>
      <c r="GH420" s="84"/>
    </row>
    <row r="421" spans="187:190" s="2" customFormat="1" ht="18" customHeight="1" x14ac:dyDescent="0.2">
      <c r="GE421" s="84"/>
      <c r="GF421" s="84"/>
      <c r="GG421" s="84"/>
      <c r="GH421" s="84"/>
    </row>
    <row r="422" spans="187:190" s="2" customFormat="1" ht="18" customHeight="1" x14ac:dyDescent="0.2">
      <c r="GE422" s="84"/>
      <c r="GF422" s="84"/>
      <c r="GG422" s="84"/>
      <c r="GH422" s="84"/>
    </row>
    <row r="423" spans="187:190" s="2" customFormat="1" ht="18" customHeight="1" x14ac:dyDescent="0.2">
      <c r="GE423" s="84"/>
      <c r="GF423" s="84"/>
      <c r="GG423" s="84"/>
      <c r="GH423" s="84"/>
    </row>
    <row r="424" spans="187:190" s="2" customFormat="1" ht="18" customHeight="1" x14ac:dyDescent="0.2">
      <c r="GE424" s="84"/>
      <c r="GF424" s="84"/>
      <c r="GG424" s="84"/>
      <c r="GH424" s="84"/>
    </row>
    <row r="425" spans="187:190" s="2" customFormat="1" ht="18" customHeight="1" x14ac:dyDescent="0.2">
      <c r="GE425" s="84"/>
      <c r="GF425" s="84"/>
      <c r="GG425" s="84"/>
      <c r="GH425" s="84"/>
    </row>
    <row r="426" spans="187:190" s="2" customFormat="1" ht="18" customHeight="1" x14ac:dyDescent="0.2">
      <c r="GE426" s="84"/>
      <c r="GF426" s="84"/>
      <c r="GG426" s="84"/>
      <c r="GH426" s="84"/>
    </row>
    <row r="427" spans="187:190" s="2" customFormat="1" ht="18" customHeight="1" x14ac:dyDescent="0.2">
      <c r="GE427" s="84"/>
      <c r="GF427" s="84"/>
      <c r="GG427" s="84"/>
      <c r="GH427" s="84"/>
    </row>
    <row r="428" spans="187:190" s="2" customFormat="1" ht="18" customHeight="1" x14ac:dyDescent="0.2">
      <c r="GE428" s="84"/>
      <c r="GF428" s="84"/>
      <c r="GG428" s="84"/>
      <c r="GH428" s="84"/>
    </row>
    <row r="429" spans="187:190" s="2" customFormat="1" ht="18" customHeight="1" x14ac:dyDescent="0.2">
      <c r="GE429" s="84"/>
      <c r="GF429" s="84"/>
      <c r="GG429" s="84"/>
      <c r="GH429" s="84"/>
    </row>
    <row r="430" spans="187:190" s="2" customFormat="1" ht="18" customHeight="1" x14ac:dyDescent="0.2">
      <c r="GE430" s="84"/>
      <c r="GF430" s="84"/>
      <c r="GG430" s="84"/>
      <c r="GH430" s="84"/>
    </row>
    <row r="431" spans="187:190" s="2" customFormat="1" ht="18" customHeight="1" x14ac:dyDescent="0.2">
      <c r="GE431" s="84"/>
      <c r="GF431" s="84"/>
      <c r="GG431" s="84"/>
      <c r="GH431" s="84"/>
    </row>
    <row r="432" spans="187:190" s="2" customFormat="1" ht="18" customHeight="1" x14ac:dyDescent="0.2">
      <c r="GE432" s="84"/>
      <c r="GF432" s="84"/>
      <c r="GG432" s="84"/>
      <c r="GH432" s="84"/>
    </row>
    <row r="433" spans="187:190" s="2" customFormat="1" ht="18" customHeight="1" x14ac:dyDescent="0.2">
      <c r="GE433" s="84"/>
      <c r="GF433" s="84"/>
      <c r="GG433" s="84"/>
      <c r="GH433" s="84"/>
    </row>
    <row r="434" spans="187:190" s="2" customFormat="1" ht="18" customHeight="1" x14ac:dyDescent="0.2">
      <c r="GE434" s="84"/>
      <c r="GF434" s="84"/>
      <c r="GG434" s="84"/>
      <c r="GH434" s="84"/>
    </row>
    <row r="435" spans="187:190" s="2" customFormat="1" ht="18" customHeight="1" x14ac:dyDescent="0.2">
      <c r="GE435" s="84"/>
      <c r="GF435" s="84"/>
      <c r="GG435" s="84"/>
      <c r="GH435" s="84"/>
    </row>
    <row r="436" spans="187:190" s="2" customFormat="1" ht="18" customHeight="1" x14ac:dyDescent="0.2">
      <c r="GE436" s="84"/>
      <c r="GF436" s="84"/>
      <c r="GG436" s="84"/>
      <c r="GH436" s="84"/>
    </row>
    <row r="437" spans="187:190" s="2" customFormat="1" ht="18" customHeight="1" x14ac:dyDescent="0.2">
      <c r="GE437" s="84"/>
      <c r="GF437" s="84"/>
      <c r="GG437" s="84"/>
      <c r="GH437" s="84"/>
    </row>
    <row r="438" spans="187:190" s="2" customFormat="1" ht="18" customHeight="1" x14ac:dyDescent="0.2">
      <c r="GE438" s="84"/>
      <c r="GF438" s="84"/>
      <c r="GG438" s="84"/>
      <c r="GH438" s="84"/>
    </row>
    <row r="439" spans="187:190" s="2" customFormat="1" ht="18" customHeight="1" x14ac:dyDescent="0.2">
      <c r="GE439" s="84"/>
      <c r="GF439" s="84"/>
      <c r="GG439" s="84"/>
      <c r="GH439" s="84"/>
    </row>
    <row r="440" spans="187:190" s="2" customFormat="1" ht="18" customHeight="1" x14ac:dyDescent="0.2">
      <c r="GE440" s="84"/>
      <c r="GF440" s="84"/>
      <c r="GG440" s="84"/>
      <c r="GH440" s="84"/>
    </row>
    <row r="441" spans="187:190" s="2" customFormat="1" ht="18" customHeight="1" x14ac:dyDescent="0.2">
      <c r="GE441" s="84"/>
      <c r="GF441" s="84"/>
      <c r="GG441" s="84"/>
      <c r="GH441" s="84"/>
    </row>
    <row r="442" spans="187:190" s="2" customFormat="1" ht="18" customHeight="1" x14ac:dyDescent="0.2">
      <c r="GE442" s="84"/>
      <c r="GF442" s="84"/>
      <c r="GG442" s="84"/>
      <c r="GH442" s="84"/>
    </row>
    <row r="443" spans="187:190" s="2" customFormat="1" ht="18" customHeight="1" x14ac:dyDescent="0.2">
      <c r="GE443" s="84"/>
      <c r="GF443" s="84"/>
      <c r="GG443" s="84"/>
      <c r="GH443" s="84"/>
    </row>
    <row r="444" spans="187:190" s="2" customFormat="1" ht="18" customHeight="1" x14ac:dyDescent="0.2">
      <c r="GE444" s="84"/>
      <c r="GF444" s="84"/>
      <c r="GG444" s="84"/>
      <c r="GH444" s="84"/>
    </row>
    <row r="445" spans="187:190" s="2" customFormat="1" ht="18" customHeight="1" x14ac:dyDescent="0.2">
      <c r="GE445" s="84"/>
      <c r="GF445" s="84"/>
      <c r="GG445" s="84"/>
      <c r="GH445" s="84"/>
    </row>
    <row r="446" spans="187:190" s="2" customFormat="1" ht="18" customHeight="1" x14ac:dyDescent="0.2">
      <c r="GE446" s="84"/>
      <c r="GF446" s="84"/>
      <c r="GG446" s="84"/>
      <c r="GH446" s="84"/>
    </row>
    <row r="447" spans="187:190" s="2" customFormat="1" ht="18" customHeight="1" x14ac:dyDescent="0.2">
      <c r="GE447" s="84"/>
      <c r="GF447" s="84"/>
      <c r="GG447" s="84"/>
      <c r="GH447" s="84"/>
    </row>
    <row r="448" spans="187:190" s="2" customFormat="1" ht="18" customHeight="1" x14ac:dyDescent="0.2">
      <c r="GE448" s="84"/>
      <c r="GF448" s="84"/>
      <c r="GG448" s="84"/>
      <c r="GH448" s="84"/>
    </row>
    <row r="449" spans="187:190" s="2" customFormat="1" ht="18" customHeight="1" x14ac:dyDescent="0.2">
      <c r="GE449" s="84"/>
      <c r="GF449" s="84"/>
      <c r="GG449" s="84"/>
      <c r="GH449" s="84"/>
    </row>
    <row r="450" spans="187:190" s="2" customFormat="1" ht="18" customHeight="1" x14ac:dyDescent="0.2">
      <c r="GE450" s="84"/>
      <c r="GF450" s="84"/>
      <c r="GG450" s="84"/>
      <c r="GH450" s="84"/>
    </row>
    <row r="451" spans="187:190" s="2" customFormat="1" ht="18" customHeight="1" x14ac:dyDescent="0.2">
      <c r="GE451" s="84"/>
      <c r="GF451" s="84"/>
      <c r="GG451" s="84"/>
      <c r="GH451" s="84"/>
    </row>
    <row r="452" spans="187:190" s="2" customFormat="1" ht="18" customHeight="1" x14ac:dyDescent="0.2">
      <c r="GE452" s="84"/>
      <c r="GF452" s="84"/>
      <c r="GG452" s="84"/>
      <c r="GH452" s="84"/>
    </row>
    <row r="453" spans="187:190" s="2" customFormat="1" ht="18" customHeight="1" x14ac:dyDescent="0.2">
      <c r="GE453" s="84"/>
      <c r="GF453" s="84"/>
      <c r="GG453" s="84"/>
      <c r="GH453" s="84"/>
    </row>
    <row r="454" spans="187:190" s="2" customFormat="1" ht="18" customHeight="1" x14ac:dyDescent="0.2">
      <c r="GE454" s="84"/>
      <c r="GF454" s="84"/>
      <c r="GG454" s="84"/>
      <c r="GH454" s="84"/>
    </row>
    <row r="455" spans="187:190" s="2" customFormat="1" ht="18" customHeight="1" x14ac:dyDescent="0.2">
      <c r="GE455" s="84"/>
      <c r="GF455" s="84"/>
      <c r="GG455" s="84"/>
      <c r="GH455" s="84"/>
    </row>
    <row r="456" spans="187:190" s="2" customFormat="1" ht="18" customHeight="1" x14ac:dyDescent="0.2">
      <c r="GE456" s="84"/>
      <c r="GF456" s="84"/>
      <c r="GG456" s="84"/>
      <c r="GH456" s="84"/>
    </row>
    <row r="457" spans="187:190" s="2" customFormat="1" ht="18" customHeight="1" x14ac:dyDescent="0.2">
      <c r="GE457" s="84"/>
      <c r="GF457" s="84"/>
      <c r="GG457" s="84"/>
      <c r="GH457" s="84"/>
    </row>
    <row r="458" spans="187:190" s="2" customFormat="1" ht="18" customHeight="1" x14ac:dyDescent="0.2">
      <c r="GE458" s="84"/>
      <c r="GF458" s="84"/>
      <c r="GG458" s="84"/>
      <c r="GH458" s="84"/>
    </row>
    <row r="459" spans="187:190" s="2" customFormat="1" ht="18" customHeight="1" x14ac:dyDescent="0.2">
      <c r="GE459" s="84"/>
      <c r="GF459" s="84"/>
      <c r="GG459" s="84"/>
      <c r="GH459" s="84"/>
    </row>
    <row r="460" spans="187:190" s="2" customFormat="1" ht="18" customHeight="1" x14ac:dyDescent="0.2">
      <c r="GE460" s="84"/>
      <c r="GF460" s="84"/>
      <c r="GG460" s="84"/>
      <c r="GH460" s="84"/>
    </row>
    <row r="461" spans="187:190" s="2" customFormat="1" ht="18" customHeight="1" x14ac:dyDescent="0.2">
      <c r="GE461" s="84"/>
      <c r="GF461" s="84"/>
      <c r="GG461" s="84"/>
      <c r="GH461" s="84"/>
    </row>
    <row r="462" spans="187:190" s="2" customFormat="1" ht="18" customHeight="1" x14ac:dyDescent="0.2">
      <c r="GE462" s="84"/>
      <c r="GF462" s="84"/>
      <c r="GG462" s="84"/>
      <c r="GH462" s="84"/>
    </row>
    <row r="463" spans="187:190" s="2" customFormat="1" ht="18" customHeight="1" x14ac:dyDescent="0.2">
      <c r="GE463" s="84"/>
      <c r="GF463" s="84"/>
      <c r="GG463" s="84"/>
      <c r="GH463" s="84"/>
    </row>
    <row r="464" spans="187:190" s="2" customFormat="1" ht="18" customHeight="1" x14ac:dyDescent="0.2">
      <c r="GE464" s="84"/>
      <c r="GF464" s="84"/>
      <c r="GG464" s="84"/>
      <c r="GH464" s="84"/>
    </row>
    <row r="465" spans="187:190" s="2" customFormat="1" ht="18" customHeight="1" x14ac:dyDescent="0.2">
      <c r="GE465" s="84"/>
      <c r="GF465" s="84"/>
      <c r="GG465" s="84"/>
      <c r="GH465" s="84"/>
    </row>
    <row r="466" spans="187:190" s="2" customFormat="1" ht="18" customHeight="1" x14ac:dyDescent="0.2">
      <c r="GE466" s="84"/>
      <c r="GF466" s="84"/>
      <c r="GG466" s="84"/>
      <c r="GH466" s="84"/>
    </row>
    <row r="467" spans="187:190" s="2" customFormat="1" ht="18" customHeight="1" x14ac:dyDescent="0.2">
      <c r="GE467" s="84"/>
      <c r="GF467" s="84"/>
      <c r="GG467" s="84"/>
      <c r="GH467" s="84"/>
    </row>
    <row r="468" spans="187:190" s="2" customFormat="1" ht="18" customHeight="1" x14ac:dyDescent="0.2">
      <c r="GE468" s="84"/>
      <c r="GF468" s="84"/>
      <c r="GG468" s="84"/>
      <c r="GH468" s="84"/>
    </row>
    <row r="469" spans="187:190" s="2" customFormat="1" ht="18" customHeight="1" x14ac:dyDescent="0.2">
      <c r="GE469" s="84"/>
      <c r="GF469" s="84"/>
      <c r="GG469" s="84"/>
      <c r="GH469" s="84"/>
    </row>
    <row r="470" spans="187:190" s="2" customFormat="1" ht="18" customHeight="1" x14ac:dyDescent="0.2">
      <c r="GE470" s="84"/>
      <c r="GF470" s="84"/>
      <c r="GG470" s="84"/>
      <c r="GH470" s="84"/>
    </row>
    <row r="471" spans="187:190" s="2" customFormat="1" ht="18" customHeight="1" x14ac:dyDescent="0.2">
      <c r="GE471" s="84"/>
      <c r="GF471" s="84"/>
      <c r="GG471" s="84"/>
      <c r="GH471" s="84"/>
    </row>
    <row r="472" spans="187:190" s="2" customFormat="1" ht="18" customHeight="1" x14ac:dyDescent="0.2">
      <c r="GE472" s="84"/>
      <c r="GF472" s="84"/>
      <c r="GG472" s="84"/>
      <c r="GH472" s="84"/>
    </row>
    <row r="473" spans="187:190" s="2" customFormat="1" ht="18" customHeight="1" x14ac:dyDescent="0.2">
      <c r="GE473" s="84"/>
      <c r="GF473" s="84"/>
      <c r="GG473" s="84"/>
      <c r="GH473" s="84"/>
    </row>
    <row r="474" spans="187:190" s="2" customFormat="1" ht="18" customHeight="1" x14ac:dyDescent="0.2">
      <c r="GE474" s="84"/>
      <c r="GF474" s="84"/>
      <c r="GG474" s="84"/>
      <c r="GH474" s="84"/>
    </row>
    <row r="475" spans="187:190" s="2" customFormat="1" ht="18" customHeight="1" x14ac:dyDescent="0.2">
      <c r="GE475" s="84"/>
      <c r="GF475" s="84"/>
      <c r="GG475" s="84"/>
      <c r="GH475" s="84"/>
    </row>
    <row r="476" spans="187:190" s="2" customFormat="1" ht="18" customHeight="1" x14ac:dyDescent="0.2">
      <c r="GE476" s="84"/>
      <c r="GF476" s="84"/>
      <c r="GG476" s="84"/>
      <c r="GH476" s="84"/>
    </row>
    <row r="477" spans="187:190" s="2" customFormat="1" ht="18" customHeight="1" x14ac:dyDescent="0.2">
      <c r="GE477" s="84"/>
      <c r="GF477" s="84"/>
      <c r="GG477" s="84"/>
      <c r="GH477" s="84"/>
    </row>
    <row r="478" spans="187:190" s="2" customFormat="1" ht="18" customHeight="1" x14ac:dyDescent="0.2">
      <c r="GE478" s="84"/>
      <c r="GF478" s="84"/>
      <c r="GG478" s="84"/>
      <c r="GH478" s="84"/>
    </row>
    <row r="479" spans="187:190" s="2" customFormat="1" ht="18" customHeight="1" x14ac:dyDescent="0.2">
      <c r="GE479" s="84"/>
      <c r="GF479" s="84"/>
      <c r="GG479" s="84"/>
      <c r="GH479" s="84"/>
    </row>
    <row r="480" spans="187:190" s="2" customFormat="1" ht="18" customHeight="1" x14ac:dyDescent="0.2">
      <c r="GE480" s="84"/>
      <c r="GF480" s="84"/>
      <c r="GG480" s="84"/>
      <c r="GH480" s="84"/>
    </row>
    <row r="481" spans="187:190" s="2" customFormat="1" ht="18" customHeight="1" x14ac:dyDescent="0.2">
      <c r="GE481" s="84"/>
      <c r="GF481" s="84"/>
      <c r="GG481" s="84"/>
      <c r="GH481" s="84"/>
    </row>
    <row r="482" spans="187:190" s="2" customFormat="1" ht="18" customHeight="1" x14ac:dyDescent="0.2">
      <c r="GE482" s="84"/>
      <c r="GF482" s="84"/>
      <c r="GG482" s="84"/>
      <c r="GH482" s="84"/>
    </row>
    <row r="483" spans="187:190" s="2" customFormat="1" ht="18" customHeight="1" x14ac:dyDescent="0.2">
      <c r="GE483" s="84"/>
      <c r="GF483" s="84"/>
      <c r="GG483" s="84"/>
      <c r="GH483" s="84"/>
    </row>
    <row r="484" spans="187:190" s="2" customFormat="1" ht="18" customHeight="1" x14ac:dyDescent="0.2">
      <c r="GE484" s="84"/>
      <c r="GF484" s="84"/>
      <c r="GG484" s="84"/>
      <c r="GH484" s="84"/>
    </row>
    <row r="485" spans="187:190" s="2" customFormat="1" ht="18" customHeight="1" x14ac:dyDescent="0.2">
      <c r="GE485" s="84"/>
      <c r="GF485" s="84"/>
      <c r="GG485" s="84"/>
      <c r="GH485" s="84"/>
    </row>
    <row r="486" spans="187:190" s="2" customFormat="1" ht="18" customHeight="1" x14ac:dyDescent="0.2">
      <c r="GE486" s="84"/>
      <c r="GF486" s="84"/>
      <c r="GG486" s="84"/>
      <c r="GH486" s="84"/>
    </row>
    <row r="487" spans="187:190" s="2" customFormat="1" ht="18" customHeight="1" x14ac:dyDescent="0.2">
      <c r="GE487" s="84"/>
      <c r="GF487" s="84"/>
      <c r="GG487" s="84"/>
      <c r="GH487" s="84"/>
    </row>
    <row r="488" spans="187:190" s="2" customFormat="1" ht="18" customHeight="1" x14ac:dyDescent="0.2">
      <c r="GE488" s="84"/>
      <c r="GF488" s="84"/>
      <c r="GG488" s="84"/>
      <c r="GH488" s="84"/>
    </row>
    <row r="489" spans="187:190" s="2" customFormat="1" ht="18" customHeight="1" x14ac:dyDescent="0.2">
      <c r="GE489" s="84"/>
      <c r="GF489" s="84"/>
      <c r="GG489" s="84"/>
      <c r="GH489" s="84"/>
    </row>
    <row r="490" spans="187:190" s="2" customFormat="1" ht="18" customHeight="1" x14ac:dyDescent="0.2">
      <c r="GE490" s="84"/>
      <c r="GF490" s="84"/>
      <c r="GG490" s="84"/>
      <c r="GH490" s="84"/>
    </row>
    <row r="491" spans="187:190" s="2" customFormat="1" ht="18" customHeight="1" x14ac:dyDescent="0.2">
      <c r="GE491" s="84"/>
      <c r="GF491" s="84"/>
      <c r="GG491" s="84"/>
      <c r="GH491" s="84"/>
    </row>
    <row r="492" spans="187:190" s="2" customFormat="1" ht="18" customHeight="1" x14ac:dyDescent="0.2">
      <c r="GE492" s="84"/>
      <c r="GF492" s="84"/>
      <c r="GG492" s="84"/>
      <c r="GH492" s="84"/>
    </row>
    <row r="493" spans="187:190" s="2" customFormat="1" ht="18" customHeight="1" x14ac:dyDescent="0.2">
      <c r="GE493" s="84"/>
      <c r="GF493" s="84"/>
      <c r="GG493" s="84"/>
      <c r="GH493" s="84"/>
    </row>
    <row r="494" spans="187:190" s="2" customFormat="1" ht="18" customHeight="1" x14ac:dyDescent="0.2">
      <c r="GE494" s="84"/>
      <c r="GF494" s="84"/>
      <c r="GG494" s="84"/>
      <c r="GH494" s="84"/>
    </row>
    <row r="495" spans="187:190" s="2" customFormat="1" ht="18" customHeight="1" x14ac:dyDescent="0.2">
      <c r="GE495" s="84"/>
      <c r="GF495" s="84"/>
      <c r="GG495" s="84"/>
      <c r="GH495" s="84"/>
    </row>
    <row r="496" spans="187:190" s="2" customFormat="1" ht="18" customHeight="1" x14ac:dyDescent="0.2">
      <c r="GE496" s="84"/>
      <c r="GF496" s="84"/>
      <c r="GG496" s="84"/>
      <c r="GH496" s="84"/>
    </row>
    <row r="497" spans="187:190" s="2" customFormat="1" ht="18" customHeight="1" x14ac:dyDescent="0.2">
      <c r="GE497" s="84"/>
      <c r="GF497" s="84"/>
      <c r="GG497" s="84"/>
      <c r="GH497" s="84"/>
    </row>
    <row r="498" spans="187:190" s="2" customFormat="1" ht="18" customHeight="1" x14ac:dyDescent="0.2">
      <c r="GE498" s="84"/>
      <c r="GF498" s="84"/>
      <c r="GG498" s="84"/>
      <c r="GH498" s="84"/>
    </row>
    <row r="499" spans="187:190" s="2" customFormat="1" ht="18" customHeight="1" x14ac:dyDescent="0.2">
      <c r="GE499" s="84"/>
      <c r="GF499" s="84"/>
      <c r="GG499" s="84"/>
      <c r="GH499" s="84"/>
    </row>
    <row r="500" spans="187:190" s="2" customFormat="1" ht="18" customHeight="1" x14ac:dyDescent="0.2">
      <c r="GE500" s="84"/>
      <c r="GF500" s="84"/>
      <c r="GG500" s="84"/>
      <c r="GH500" s="84"/>
    </row>
    <row r="501" spans="187:190" s="2" customFormat="1" ht="18" customHeight="1" x14ac:dyDescent="0.2">
      <c r="GE501" s="84"/>
      <c r="GF501" s="84"/>
      <c r="GG501" s="84"/>
      <c r="GH501" s="84"/>
    </row>
    <row r="502" spans="187:190" s="2" customFormat="1" ht="18" customHeight="1" x14ac:dyDescent="0.2">
      <c r="GE502" s="84"/>
      <c r="GF502" s="84"/>
      <c r="GG502" s="84"/>
      <c r="GH502" s="84"/>
    </row>
    <row r="503" spans="187:190" s="2" customFormat="1" ht="18" customHeight="1" x14ac:dyDescent="0.2">
      <c r="GE503" s="84"/>
      <c r="GF503" s="84"/>
      <c r="GG503" s="84"/>
      <c r="GH503" s="84"/>
    </row>
    <row r="504" spans="187:190" s="2" customFormat="1" ht="18" customHeight="1" x14ac:dyDescent="0.2">
      <c r="GE504" s="84"/>
      <c r="GF504" s="84"/>
      <c r="GG504" s="84"/>
      <c r="GH504" s="84"/>
    </row>
    <row r="505" spans="187:190" s="2" customFormat="1" ht="18" customHeight="1" x14ac:dyDescent="0.2">
      <c r="GE505" s="84"/>
      <c r="GF505" s="84"/>
      <c r="GG505" s="84"/>
      <c r="GH505" s="84"/>
    </row>
    <row r="506" spans="187:190" s="2" customFormat="1" ht="18" customHeight="1" x14ac:dyDescent="0.2">
      <c r="GE506" s="84"/>
      <c r="GF506" s="84"/>
      <c r="GG506" s="84"/>
      <c r="GH506" s="84"/>
    </row>
    <row r="507" spans="187:190" s="2" customFormat="1" ht="18" customHeight="1" x14ac:dyDescent="0.2">
      <c r="GE507" s="84"/>
      <c r="GF507" s="84"/>
      <c r="GG507" s="84"/>
      <c r="GH507" s="84"/>
    </row>
    <row r="508" spans="187:190" s="2" customFormat="1" ht="18" customHeight="1" x14ac:dyDescent="0.2">
      <c r="GE508" s="84"/>
      <c r="GF508" s="84"/>
      <c r="GG508" s="84"/>
      <c r="GH508" s="84"/>
    </row>
    <row r="509" spans="187:190" s="2" customFormat="1" ht="18" customHeight="1" x14ac:dyDescent="0.2">
      <c r="GE509" s="84"/>
      <c r="GF509" s="84"/>
      <c r="GG509" s="84"/>
      <c r="GH509" s="84"/>
    </row>
    <row r="510" spans="187:190" s="2" customFormat="1" ht="18" customHeight="1" x14ac:dyDescent="0.2">
      <c r="GE510" s="84"/>
      <c r="GF510" s="84"/>
      <c r="GG510" s="84"/>
      <c r="GH510" s="84"/>
    </row>
    <row r="511" spans="187:190" s="2" customFormat="1" ht="18" customHeight="1" x14ac:dyDescent="0.2">
      <c r="GE511" s="84"/>
      <c r="GF511" s="84"/>
      <c r="GG511" s="84"/>
      <c r="GH511" s="84"/>
    </row>
    <row r="512" spans="187:190" s="2" customFormat="1" ht="18" customHeight="1" x14ac:dyDescent="0.2">
      <c r="GE512" s="84"/>
      <c r="GF512" s="84"/>
      <c r="GG512" s="84"/>
      <c r="GH512" s="84"/>
    </row>
    <row r="513" spans="187:190" s="2" customFormat="1" ht="18" customHeight="1" x14ac:dyDescent="0.2">
      <c r="GE513" s="84"/>
      <c r="GF513" s="84"/>
      <c r="GG513" s="84"/>
      <c r="GH513" s="84"/>
    </row>
    <row r="514" spans="187:190" s="2" customFormat="1" ht="18" customHeight="1" x14ac:dyDescent="0.2">
      <c r="GE514" s="84"/>
      <c r="GF514" s="84"/>
      <c r="GG514" s="84"/>
      <c r="GH514" s="84"/>
    </row>
    <row r="515" spans="187:190" s="2" customFormat="1" ht="18" customHeight="1" x14ac:dyDescent="0.2">
      <c r="GE515" s="84"/>
      <c r="GF515" s="84"/>
      <c r="GG515" s="84"/>
      <c r="GH515" s="84"/>
    </row>
    <row r="516" spans="187:190" s="2" customFormat="1" ht="18" customHeight="1" x14ac:dyDescent="0.2">
      <c r="GE516" s="84"/>
      <c r="GF516" s="84"/>
      <c r="GG516" s="84"/>
      <c r="GH516" s="84"/>
    </row>
    <row r="517" spans="187:190" s="2" customFormat="1" ht="18" customHeight="1" x14ac:dyDescent="0.2">
      <c r="GE517" s="84"/>
      <c r="GF517" s="84"/>
      <c r="GG517" s="84"/>
      <c r="GH517" s="84"/>
    </row>
    <row r="518" spans="187:190" s="2" customFormat="1" ht="18" customHeight="1" x14ac:dyDescent="0.2">
      <c r="GE518" s="84"/>
      <c r="GF518" s="84"/>
      <c r="GG518" s="84"/>
      <c r="GH518" s="84"/>
    </row>
    <row r="519" spans="187:190" s="2" customFormat="1" ht="18" customHeight="1" x14ac:dyDescent="0.2">
      <c r="GE519" s="84"/>
      <c r="GF519" s="84"/>
      <c r="GG519" s="84"/>
      <c r="GH519" s="84"/>
    </row>
    <row r="520" spans="187:190" s="2" customFormat="1" ht="18" customHeight="1" x14ac:dyDescent="0.2">
      <c r="GE520" s="84"/>
      <c r="GF520" s="84"/>
      <c r="GG520" s="84"/>
      <c r="GH520" s="84"/>
    </row>
    <row r="521" spans="187:190" s="2" customFormat="1" ht="18" customHeight="1" x14ac:dyDescent="0.2">
      <c r="GE521" s="84"/>
      <c r="GF521" s="84"/>
      <c r="GG521" s="84"/>
      <c r="GH521" s="84"/>
    </row>
    <row r="522" spans="187:190" s="2" customFormat="1" ht="18" customHeight="1" x14ac:dyDescent="0.2">
      <c r="GE522" s="84"/>
      <c r="GF522" s="84"/>
      <c r="GG522" s="84"/>
      <c r="GH522" s="84"/>
    </row>
    <row r="523" spans="187:190" s="2" customFormat="1" ht="18" customHeight="1" x14ac:dyDescent="0.2">
      <c r="GE523" s="84"/>
      <c r="GF523" s="84"/>
      <c r="GG523" s="84"/>
      <c r="GH523" s="84"/>
    </row>
    <row r="524" spans="187:190" s="2" customFormat="1" ht="18" customHeight="1" x14ac:dyDescent="0.2">
      <c r="GE524" s="84"/>
      <c r="GF524" s="84"/>
      <c r="GG524" s="84"/>
      <c r="GH524" s="84"/>
    </row>
    <row r="525" spans="187:190" s="2" customFormat="1" ht="18" customHeight="1" x14ac:dyDescent="0.2">
      <c r="GE525" s="84"/>
      <c r="GF525" s="84"/>
      <c r="GG525" s="84"/>
      <c r="GH525" s="84"/>
    </row>
    <row r="526" spans="187:190" s="2" customFormat="1" ht="18" customHeight="1" x14ac:dyDescent="0.2">
      <c r="GE526" s="84"/>
      <c r="GF526" s="84"/>
      <c r="GG526" s="84"/>
      <c r="GH526" s="84"/>
    </row>
    <row r="527" spans="187:190" s="2" customFormat="1" ht="18" customHeight="1" x14ac:dyDescent="0.2">
      <c r="GE527" s="84"/>
      <c r="GF527" s="84"/>
      <c r="GG527" s="84"/>
      <c r="GH527" s="84"/>
    </row>
    <row r="528" spans="187:190" s="2" customFormat="1" ht="18" customHeight="1" x14ac:dyDescent="0.2">
      <c r="GE528" s="84"/>
      <c r="GF528" s="84"/>
      <c r="GG528" s="84"/>
      <c r="GH528" s="84"/>
    </row>
    <row r="529" spans="187:190" s="2" customFormat="1" ht="18" customHeight="1" x14ac:dyDescent="0.2">
      <c r="GE529" s="84"/>
      <c r="GF529" s="84"/>
      <c r="GG529" s="84"/>
      <c r="GH529" s="84"/>
    </row>
    <row r="530" spans="187:190" s="2" customFormat="1" ht="18" customHeight="1" x14ac:dyDescent="0.2">
      <c r="GE530" s="84"/>
      <c r="GF530" s="84"/>
      <c r="GG530" s="84"/>
      <c r="GH530" s="84"/>
    </row>
    <row r="531" spans="187:190" s="2" customFormat="1" ht="18" customHeight="1" x14ac:dyDescent="0.2">
      <c r="GE531" s="84"/>
      <c r="GF531" s="84"/>
      <c r="GG531" s="84"/>
      <c r="GH531" s="84"/>
    </row>
    <row r="532" spans="187:190" s="2" customFormat="1" ht="18" customHeight="1" x14ac:dyDescent="0.2">
      <c r="GE532" s="84"/>
      <c r="GF532" s="84"/>
      <c r="GG532" s="84"/>
      <c r="GH532" s="84"/>
    </row>
    <row r="533" spans="187:190" s="2" customFormat="1" ht="18" customHeight="1" x14ac:dyDescent="0.2">
      <c r="GE533" s="84"/>
      <c r="GF533" s="84"/>
      <c r="GG533" s="84"/>
      <c r="GH533" s="84"/>
    </row>
    <row r="534" spans="187:190" s="2" customFormat="1" ht="18" customHeight="1" x14ac:dyDescent="0.2">
      <c r="GE534" s="84"/>
      <c r="GF534" s="84"/>
      <c r="GG534" s="84"/>
      <c r="GH534" s="84"/>
    </row>
    <row r="535" spans="187:190" s="2" customFormat="1" ht="18" customHeight="1" x14ac:dyDescent="0.2">
      <c r="GE535" s="84"/>
      <c r="GF535" s="84"/>
      <c r="GG535" s="84"/>
      <c r="GH535" s="84"/>
    </row>
    <row r="536" spans="187:190" s="2" customFormat="1" ht="18" customHeight="1" x14ac:dyDescent="0.2">
      <c r="GE536" s="84"/>
      <c r="GF536" s="84"/>
      <c r="GG536" s="84"/>
      <c r="GH536" s="84"/>
    </row>
    <row r="537" spans="187:190" s="2" customFormat="1" ht="18" customHeight="1" x14ac:dyDescent="0.2">
      <c r="GE537" s="84"/>
      <c r="GF537" s="84"/>
      <c r="GG537" s="84"/>
      <c r="GH537" s="84"/>
    </row>
    <row r="538" spans="187:190" s="2" customFormat="1" ht="18" customHeight="1" x14ac:dyDescent="0.2">
      <c r="GE538" s="84"/>
      <c r="GF538" s="84"/>
      <c r="GG538" s="84"/>
      <c r="GH538" s="84"/>
    </row>
    <row r="539" spans="187:190" s="2" customFormat="1" ht="18" customHeight="1" x14ac:dyDescent="0.2">
      <c r="GE539" s="84"/>
      <c r="GF539" s="84"/>
      <c r="GG539" s="84"/>
      <c r="GH539" s="84"/>
    </row>
    <row r="540" spans="187:190" s="2" customFormat="1" ht="18" customHeight="1" x14ac:dyDescent="0.2">
      <c r="GE540" s="84"/>
      <c r="GF540" s="84"/>
      <c r="GG540" s="84"/>
      <c r="GH540" s="84"/>
    </row>
    <row r="541" spans="187:190" s="2" customFormat="1" ht="18" customHeight="1" x14ac:dyDescent="0.2">
      <c r="GE541" s="84"/>
      <c r="GF541" s="84"/>
      <c r="GG541" s="84"/>
      <c r="GH541" s="84"/>
    </row>
    <row r="542" spans="187:190" s="2" customFormat="1" ht="18" customHeight="1" x14ac:dyDescent="0.2">
      <c r="GE542" s="84"/>
      <c r="GF542" s="84"/>
      <c r="GG542" s="84"/>
      <c r="GH542" s="84"/>
    </row>
    <row r="543" spans="187:190" s="2" customFormat="1" ht="18" customHeight="1" x14ac:dyDescent="0.2">
      <c r="GE543" s="84"/>
      <c r="GF543" s="84"/>
      <c r="GG543" s="84"/>
      <c r="GH543" s="84"/>
    </row>
    <row r="544" spans="187:190" s="2" customFormat="1" ht="18" customHeight="1" x14ac:dyDescent="0.2">
      <c r="GE544" s="84"/>
      <c r="GF544" s="84"/>
      <c r="GG544" s="84"/>
      <c r="GH544" s="84"/>
    </row>
    <row r="545" spans="187:190" s="2" customFormat="1" ht="18" customHeight="1" x14ac:dyDescent="0.2">
      <c r="GE545" s="84"/>
      <c r="GF545" s="84"/>
      <c r="GG545" s="84"/>
      <c r="GH545" s="84"/>
    </row>
    <row r="546" spans="187:190" s="2" customFormat="1" ht="18" customHeight="1" x14ac:dyDescent="0.2">
      <c r="GE546" s="84"/>
      <c r="GF546" s="84"/>
      <c r="GG546" s="84"/>
      <c r="GH546" s="84"/>
    </row>
    <row r="547" spans="187:190" s="2" customFormat="1" ht="18" customHeight="1" x14ac:dyDescent="0.2">
      <c r="GE547" s="84"/>
      <c r="GF547" s="84"/>
      <c r="GG547" s="84"/>
      <c r="GH547" s="84"/>
    </row>
    <row r="548" spans="187:190" s="2" customFormat="1" ht="18" customHeight="1" x14ac:dyDescent="0.2">
      <c r="GE548" s="84"/>
      <c r="GF548" s="84"/>
      <c r="GG548" s="84"/>
      <c r="GH548" s="84"/>
    </row>
    <row r="549" spans="187:190" s="2" customFormat="1" ht="18" customHeight="1" x14ac:dyDescent="0.2">
      <c r="GE549" s="84"/>
      <c r="GF549" s="84"/>
      <c r="GG549" s="84"/>
      <c r="GH549" s="84"/>
    </row>
    <row r="550" spans="187:190" s="2" customFormat="1" ht="18" customHeight="1" x14ac:dyDescent="0.2">
      <c r="GE550" s="84"/>
      <c r="GF550" s="84"/>
      <c r="GG550" s="84"/>
      <c r="GH550" s="84"/>
    </row>
    <row r="551" spans="187:190" s="2" customFormat="1" ht="18" customHeight="1" x14ac:dyDescent="0.2">
      <c r="GE551" s="84"/>
      <c r="GF551" s="84"/>
      <c r="GG551" s="84"/>
      <c r="GH551" s="84"/>
    </row>
    <row r="552" spans="187:190" s="2" customFormat="1" ht="18" customHeight="1" x14ac:dyDescent="0.2">
      <c r="GE552" s="84"/>
      <c r="GF552" s="84"/>
      <c r="GG552" s="84"/>
      <c r="GH552" s="84"/>
    </row>
    <row r="553" spans="187:190" s="2" customFormat="1" ht="18" customHeight="1" x14ac:dyDescent="0.2">
      <c r="GE553" s="84"/>
      <c r="GF553" s="84"/>
      <c r="GG553" s="84"/>
      <c r="GH553" s="84"/>
    </row>
    <row r="554" spans="187:190" s="2" customFormat="1" ht="18" customHeight="1" x14ac:dyDescent="0.2">
      <c r="GE554" s="84"/>
      <c r="GF554" s="84"/>
      <c r="GG554" s="84"/>
      <c r="GH554" s="84"/>
    </row>
    <row r="555" spans="187:190" s="2" customFormat="1" ht="18" customHeight="1" x14ac:dyDescent="0.2">
      <c r="GE555" s="84"/>
      <c r="GF555" s="84"/>
      <c r="GG555" s="84"/>
      <c r="GH555" s="84"/>
    </row>
    <row r="556" spans="187:190" s="2" customFormat="1" ht="18" customHeight="1" x14ac:dyDescent="0.2">
      <c r="GE556" s="84"/>
      <c r="GF556" s="84"/>
      <c r="GG556" s="84"/>
      <c r="GH556" s="84"/>
    </row>
    <row r="557" spans="187:190" s="2" customFormat="1" ht="18" customHeight="1" x14ac:dyDescent="0.2">
      <c r="GE557" s="84"/>
      <c r="GF557" s="84"/>
      <c r="GG557" s="84"/>
      <c r="GH557" s="84"/>
    </row>
    <row r="558" spans="187:190" s="2" customFormat="1" ht="18" customHeight="1" x14ac:dyDescent="0.2">
      <c r="GE558" s="84"/>
      <c r="GF558" s="84"/>
      <c r="GG558" s="84"/>
      <c r="GH558" s="84"/>
    </row>
    <row r="559" spans="187:190" s="2" customFormat="1" ht="18" customHeight="1" x14ac:dyDescent="0.2">
      <c r="GE559" s="84"/>
      <c r="GF559" s="84"/>
      <c r="GG559" s="84"/>
      <c r="GH559" s="84"/>
    </row>
    <row r="560" spans="187:190" s="2" customFormat="1" ht="18" customHeight="1" x14ac:dyDescent="0.2">
      <c r="GE560" s="84"/>
      <c r="GF560" s="84"/>
      <c r="GG560" s="84"/>
      <c r="GH560" s="84"/>
    </row>
    <row r="561" spans="187:190" s="2" customFormat="1" ht="18" customHeight="1" x14ac:dyDescent="0.2">
      <c r="GE561" s="84"/>
      <c r="GF561" s="84"/>
      <c r="GG561" s="84"/>
      <c r="GH561" s="84"/>
    </row>
    <row r="562" spans="187:190" s="2" customFormat="1" ht="18" customHeight="1" x14ac:dyDescent="0.2">
      <c r="GE562" s="84"/>
      <c r="GF562" s="84"/>
      <c r="GG562" s="84"/>
      <c r="GH562" s="84"/>
    </row>
    <row r="563" spans="187:190" s="2" customFormat="1" ht="18" customHeight="1" x14ac:dyDescent="0.2">
      <c r="GE563" s="84"/>
      <c r="GF563" s="84"/>
      <c r="GG563" s="84"/>
      <c r="GH563" s="84"/>
    </row>
    <row r="564" spans="187:190" s="2" customFormat="1" ht="18" customHeight="1" x14ac:dyDescent="0.2">
      <c r="GE564" s="84"/>
      <c r="GF564" s="84"/>
      <c r="GG564" s="84"/>
      <c r="GH564" s="84"/>
    </row>
    <row r="565" spans="187:190" s="2" customFormat="1" ht="18" customHeight="1" x14ac:dyDescent="0.2">
      <c r="GE565" s="84"/>
      <c r="GF565" s="84"/>
      <c r="GG565" s="84"/>
      <c r="GH565" s="84"/>
    </row>
    <row r="566" spans="187:190" s="2" customFormat="1" ht="18" customHeight="1" x14ac:dyDescent="0.2">
      <c r="GE566" s="84"/>
      <c r="GF566" s="84"/>
      <c r="GG566" s="84"/>
      <c r="GH566" s="84"/>
    </row>
    <row r="567" spans="187:190" s="2" customFormat="1" ht="18" customHeight="1" x14ac:dyDescent="0.2">
      <c r="GE567" s="84"/>
      <c r="GF567" s="84"/>
      <c r="GG567" s="84"/>
      <c r="GH567" s="84"/>
    </row>
    <row r="568" spans="187:190" s="2" customFormat="1" ht="18" customHeight="1" x14ac:dyDescent="0.2">
      <c r="GE568" s="84"/>
      <c r="GF568" s="84"/>
      <c r="GG568" s="84"/>
      <c r="GH568" s="84"/>
    </row>
    <row r="569" spans="187:190" s="2" customFormat="1" ht="18" customHeight="1" x14ac:dyDescent="0.2">
      <c r="GE569" s="84"/>
      <c r="GF569" s="84"/>
      <c r="GG569" s="84"/>
      <c r="GH569" s="84"/>
    </row>
    <row r="570" spans="187:190" s="2" customFormat="1" ht="18" customHeight="1" x14ac:dyDescent="0.2">
      <c r="GE570" s="84"/>
      <c r="GF570" s="84"/>
      <c r="GG570" s="84"/>
      <c r="GH570" s="84"/>
    </row>
    <row r="571" spans="187:190" s="2" customFormat="1" ht="18" customHeight="1" x14ac:dyDescent="0.2">
      <c r="GE571" s="84"/>
      <c r="GF571" s="84"/>
      <c r="GG571" s="84"/>
      <c r="GH571" s="84"/>
    </row>
    <row r="572" spans="187:190" s="2" customFormat="1" ht="18" customHeight="1" x14ac:dyDescent="0.2">
      <c r="GE572" s="84"/>
      <c r="GF572" s="84"/>
      <c r="GG572" s="84"/>
      <c r="GH572" s="84"/>
    </row>
    <row r="573" spans="187:190" s="2" customFormat="1" ht="18" customHeight="1" x14ac:dyDescent="0.2">
      <c r="GE573" s="84"/>
      <c r="GF573" s="84"/>
      <c r="GG573" s="84"/>
      <c r="GH573" s="84"/>
    </row>
    <row r="574" spans="187:190" s="2" customFormat="1" ht="18" customHeight="1" x14ac:dyDescent="0.2">
      <c r="GE574" s="84"/>
      <c r="GF574" s="84"/>
      <c r="GG574" s="84"/>
      <c r="GH574" s="84"/>
    </row>
    <row r="575" spans="187:190" s="2" customFormat="1" ht="18" customHeight="1" x14ac:dyDescent="0.2">
      <c r="GE575" s="84"/>
      <c r="GF575" s="84"/>
      <c r="GG575" s="84"/>
      <c r="GH575" s="84"/>
    </row>
    <row r="576" spans="187:190" s="2" customFormat="1" ht="18" customHeight="1" x14ac:dyDescent="0.2">
      <c r="GE576" s="84"/>
      <c r="GF576" s="84"/>
      <c r="GG576" s="84"/>
      <c r="GH576" s="84"/>
    </row>
    <row r="577" spans="187:190" s="2" customFormat="1" ht="18" customHeight="1" x14ac:dyDescent="0.2">
      <c r="GE577" s="84"/>
      <c r="GF577" s="84"/>
      <c r="GG577" s="84"/>
      <c r="GH577" s="84"/>
    </row>
    <row r="578" spans="187:190" s="2" customFormat="1" ht="18" customHeight="1" x14ac:dyDescent="0.2">
      <c r="GE578" s="84"/>
      <c r="GF578" s="84"/>
      <c r="GG578" s="84"/>
      <c r="GH578" s="84"/>
    </row>
    <row r="579" spans="187:190" s="2" customFormat="1" ht="18" customHeight="1" x14ac:dyDescent="0.2">
      <c r="GE579" s="84"/>
      <c r="GF579" s="84"/>
      <c r="GG579" s="84"/>
      <c r="GH579" s="84"/>
    </row>
    <row r="580" spans="187:190" s="2" customFormat="1" ht="18" customHeight="1" x14ac:dyDescent="0.2">
      <c r="GE580" s="84"/>
      <c r="GF580" s="84"/>
      <c r="GG580" s="84"/>
      <c r="GH580" s="84"/>
    </row>
    <row r="581" spans="187:190" s="2" customFormat="1" ht="18" customHeight="1" x14ac:dyDescent="0.2">
      <c r="GE581" s="84"/>
      <c r="GF581" s="84"/>
      <c r="GG581" s="84"/>
      <c r="GH581" s="84"/>
    </row>
    <row r="582" spans="187:190" s="2" customFormat="1" ht="18" customHeight="1" x14ac:dyDescent="0.2">
      <c r="GE582" s="84"/>
      <c r="GF582" s="84"/>
      <c r="GG582" s="84"/>
      <c r="GH582" s="84"/>
    </row>
    <row r="583" spans="187:190" s="2" customFormat="1" ht="18" customHeight="1" x14ac:dyDescent="0.2">
      <c r="GE583" s="84"/>
      <c r="GF583" s="84"/>
      <c r="GG583" s="84"/>
      <c r="GH583" s="84"/>
    </row>
    <row r="584" spans="187:190" s="2" customFormat="1" ht="18" customHeight="1" x14ac:dyDescent="0.2">
      <c r="GE584" s="84"/>
      <c r="GF584" s="84"/>
      <c r="GG584" s="84"/>
      <c r="GH584" s="84"/>
    </row>
    <row r="585" spans="187:190" s="2" customFormat="1" ht="18" customHeight="1" x14ac:dyDescent="0.2">
      <c r="GE585" s="84"/>
      <c r="GF585" s="84"/>
      <c r="GG585" s="84"/>
      <c r="GH585" s="84"/>
    </row>
    <row r="586" spans="187:190" s="2" customFormat="1" ht="18" customHeight="1" x14ac:dyDescent="0.2">
      <c r="GE586" s="84"/>
      <c r="GF586" s="84"/>
      <c r="GG586" s="84"/>
      <c r="GH586" s="84"/>
    </row>
    <row r="587" spans="187:190" s="2" customFormat="1" ht="18" customHeight="1" x14ac:dyDescent="0.2">
      <c r="GE587" s="84"/>
      <c r="GF587" s="84"/>
      <c r="GG587" s="84"/>
      <c r="GH587" s="84"/>
    </row>
    <row r="588" spans="187:190" s="2" customFormat="1" ht="18" customHeight="1" x14ac:dyDescent="0.2">
      <c r="GE588" s="84"/>
      <c r="GF588" s="84"/>
      <c r="GG588" s="84"/>
      <c r="GH588" s="84"/>
    </row>
    <row r="589" spans="187:190" s="2" customFormat="1" ht="18" customHeight="1" x14ac:dyDescent="0.2">
      <c r="GE589" s="84"/>
      <c r="GF589" s="84"/>
      <c r="GG589" s="84"/>
      <c r="GH589" s="84"/>
    </row>
    <row r="590" spans="187:190" s="2" customFormat="1" ht="18" customHeight="1" x14ac:dyDescent="0.2">
      <c r="GE590" s="84"/>
      <c r="GF590" s="84"/>
      <c r="GG590" s="84"/>
      <c r="GH590" s="84"/>
    </row>
    <row r="591" spans="187:190" s="2" customFormat="1" ht="18" customHeight="1" x14ac:dyDescent="0.2">
      <c r="GE591" s="84"/>
      <c r="GF591" s="84"/>
      <c r="GG591" s="84"/>
      <c r="GH591" s="84"/>
    </row>
    <row r="592" spans="187:190" s="2" customFormat="1" ht="18" customHeight="1" x14ac:dyDescent="0.2">
      <c r="GE592" s="84"/>
      <c r="GF592" s="84"/>
      <c r="GG592" s="84"/>
      <c r="GH592" s="84"/>
    </row>
    <row r="593" spans="187:190" s="2" customFormat="1" ht="18" customHeight="1" x14ac:dyDescent="0.2">
      <c r="GE593" s="84"/>
      <c r="GF593" s="84"/>
      <c r="GG593" s="84"/>
      <c r="GH593" s="84"/>
    </row>
    <row r="594" spans="187:190" s="2" customFormat="1" ht="18" customHeight="1" x14ac:dyDescent="0.2">
      <c r="GE594" s="84"/>
      <c r="GF594" s="84"/>
      <c r="GG594" s="84"/>
      <c r="GH594" s="84"/>
    </row>
    <row r="595" spans="187:190" s="2" customFormat="1" ht="18" customHeight="1" x14ac:dyDescent="0.2">
      <c r="GE595" s="84"/>
      <c r="GF595" s="84"/>
      <c r="GG595" s="84"/>
      <c r="GH595" s="84"/>
    </row>
    <row r="596" spans="187:190" s="2" customFormat="1" ht="18" customHeight="1" x14ac:dyDescent="0.2">
      <c r="GE596" s="84"/>
      <c r="GF596" s="84"/>
      <c r="GG596" s="84"/>
      <c r="GH596" s="84"/>
    </row>
    <row r="597" spans="187:190" s="2" customFormat="1" ht="18" customHeight="1" x14ac:dyDescent="0.2">
      <c r="GE597" s="84"/>
      <c r="GF597" s="84"/>
      <c r="GG597" s="84"/>
      <c r="GH597" s="84"/>
    </row>
    <row r="598" spans="187:190" s="2" customFormat="1" ht="18" customHeight="1" x14ac:dyDescent="0.2">
      <c r="GE598" s="84"/>
      <c r="GF598" s="84"/>
      <c r="GG598" s="84"/>
      <c r="GH598" s="84"/>
    </row>
    <row r="599" spans="187:190" s="2" customFormat="1" ht="18" customHeight="1" x14ac:dyDescent="0.2">
      <c r="GE599" s="84"/>
      <c r="GF599" s="84"/>
      <c r="GG599" s="84"/>
      <c r="GH599" s="84"/>
    </row>
    <row r="600" spans="187:190" s="2" customFormat="1" ht="18" customHeight="1" x14ac:dyDescent="0.2">
      <c r="GE600" s="84"/>
      <c r="GF600" s="84"/>
      <c r="GG600" s="84"/>
      <c r="GH600" s="84"/>
    </row>
    <row r="601" spans="187:190" s="2" customFormat="1" ht="18" customHeight="1" x14ac:dyDescent="0.2">
      <c r="GE601" s="84"/>
      <c r="GF601" s="84"/>
      <c r="GG601" s="84"/>
      <c r="GH601" s="84"/>
    </row>
    <row r="602" spans="187:190" s="2" customFormat="1" ht="18" customHeight="1" x14ac:dyDescent="0.2">
      <c r="GE602" s="84"/>
      <c r="GF602" s="84"/>
      <c r="GG602" s="84"/>
      <c r="GH602" s="84"/>
    </row>
    <row r="603" spans="187:190" s="2" customFormat="1" ht="18" customHeight="1" x14ac:dyDescent="0.2">
      <c r="GE603" s="84"/>
      <c r="GF603" s="84"/>
      <c r="GG603" s="84"/>
      <c r="GH603" s="84"/>
    </row>
    <row r="604" spans="187:190" s="2" customFormat="1" ht="18" customHeight="1" x14ac:dyDescent="0.2">
      <c r="GE604" s="84"/>
      <c r="GF604" s="84"/>
      <c r="GG604" s="84"/>
      <c r="GH604" s="84"/>
    </row>
    <row r="605" spans="187:190" s="2" customFormat="1" ht="18" customHeight="1" x14ac:dyDescent="0.2">
      <c r="GE605" s="84"/>
      <c r="GF605" s="84"/>
      <c r="GG605" s="84"/>
      <c r="GH605" s="84"/>
    </row>
    <row r="606" spans="187:190" s="2" customFormat="1" ht="18" customHeight="1" x14ac:dyDescent="0.2">
      <c r="GE606" s="84"/>
      <c r="GF606" s="84"/>
      <c r="GG606" s="84"/>
      <c r="GH606" s="84"/>
    </row>
    <row r="607" spans="187:190" s="2" customFormat="1" ht="18" customHeight="1" x14ac:dyDescent="0.2">
      <c r="GE607" s="84"/>
      <c r="GF607" s="84"/>
      <c r="GG607" s="84"/>
      <c r="GH607" s="84"/>
    </row>
    <row r="608" spans="187:190" s="2" customFormat="1" ht="18" customHeight="1" x14ac:dyDescent="0.2">
      <c r="GE608" s="84"/>
      <c r="GF608" s="84"/>
      <c r="GG608" s="84"/>
      <c r="GH608" s="84"/>
    </row>
    <row r="609" spans="187:190" s="2" customFormat="1" ht="18" customHeight="1" x14ac:dyDescent="0.2">
      <c r="GE609" s="84"/>
      <c r="GF609" s="84"/>
      <c r="GG609" s="84"/>
      <c r="GH609" s="84"/>
    </row>
    <row r="610" spans="187:190" s="2" customFormat="1" ht="18" customHeight="1" x14ac:dyDescent="0.2">
      <c r="GE610" s="84"/>
      <c r="GF610" s="84"/>
      <c r="GG610" s="84"/>
      <c r="GH610" s="84"/>
    </row>
    <row r="611" spans="187:190" s="2" customFormat="1" ht="18" customHeight="1" x14ac:dyDescent="0.2">
      <c r="GE611" s="84"/>
      <c r="GF611" s="84"/>
      <c r="GG611" s="84"/>
      <c r="GH611" s="84"/>
    </row>
    <row r="612" spans="187:190" s="2" customFormat="1" ht="18" customHeight="1" x14ac:dyDescent="0.2">
      <c r="GE612" s="84"/>
      <c r="GF612" s="84"/>
      <c r="GG612" s="84"/>
      <c r="GH612" s="84"/>
    </row>
    <row r="613" spans="187:190" s="2" customFormat="1" ht="18" customHeight="1" x14ac:dyDescent="0.2">
      <c r="GE613" s="84"/>
      <c r="GF613" s="84"/>
      <c r="GG613" s="84"/>
      <c r="GH613" s="84"/>
    </row>
    <row r="614" spans="187:190" s="2" customFormat="1" ht="18" customHeight="1" x14ac:dyDescent="0.2">
      <c r="GE614" s="84"/>
      <c r="GF614" s="84"/>
      <c r="GG614" s="84"/>
      <c r="GH614" s="84"/>
    </row>
    <row r="615" spans="187:190" s="2" customFormat="1" ht="18" customHeight="1" x14ac:dyDescent="0.2">
      <c r="GE615" s="84"/>
      <c r="GF615" s="84"/>
      <c r="GG615" s="84"/>
      <c r="GH615" s="84"/>
    </row>
    <row r="616" spans="187:190" s="2" customFormat="1" ht="18" customHeight="1" x14ac:dyDescent="0.2">
      <c r="GE616" s="84"/>
      <c r="GF616" s="84"/>
      <c r="GG616" s="84"/>
      <c r="GH616" s="84"/>
    </row>
    <row r="617" spans="187:190" s="2" customFormat="1" ht="18" customHeight="1" x14ac:dyDescent="0.2">
      <c r="GE617" s="84"/>
      <c r="GF617" s="84"/>
      <c r="GG617" s="84"/>
      <c r="GH617" s="84"/>
    </row>
    <row r="618" spans="187:190" s="2" customFormat="1" ht="18" customHeight="1" x14ac:dyDescent="0.2">
      <c r="GE618" s="84"/>
      <c r="GF618" s="84"/>
      <c r="GG618" s="84"/>
      <c r="GH618" s="84"/>
    </row>
    <row r="619" spans="187:190" s="2" customFormat="1" ht="18" customHeight="1" x14ac:dyDescent="0.2">
      <c r="GE619" s="84"/>
      <c r="GF619" s="84"/>
      <c r="GG619" s="84"/>
      <c r="GH619" s="84"/>
    </row>
    <row r="620" spans="187:190" s="2" customFormat="1" ht="18" customHeight="1" x14ac:dyDescent="0.2">
      <c r="GE620" s="84"/>
      <c r="GF620" s="84"/>
      <c r="GG620" s="84"/>
      <c r="GH620" s="84"/>
    </row>
    <row r="621" spans="187:190" s="2" customFormat="1" ht="18" customHeight="1" x14ac:dyDescent="0.2">
      <c r="GE621" s="84"/>
      <c r="GF621" s="84"/>
      <c r="GG621" s="84"/>
      <c r="GH621" s="84"/>
    </row>
    <row r="622" spans="187:190" s="2" customFormat="1" ht="18" customHeight="1" x14ac:dyDescent="0.2">
      <c r="GE622" s="84"/>
      <c r="GF622" s="84"/>
      <c r="GG622" s="84"/>
      <c r="GH622" s="84"/>
    </row>
    <row r="623" spans="187:190" s="2" customFormat="1" ht="18" customHeight="1" x14ac:dyDescent="0.2">
      <c r="GE623" s="84"/>
      <c r="GF623" s="84"/>
      <c r="GG623" s="84"/>
      <c r="GH623" s="84"/>
    </row>
    <row r="624" spans="187:190" s="2" customFormat="1" ht="18" customHeight="1" x14ac:dyDescent="0.2">
      <c r="GE624" s="84"/>
      <c r="GF624" s="84"/>
      <c r="GG624" s="84"/>
      <c r="GH624" s="84"/>
    </row>
    <row r="625" spans="187:190" s="2" customFormat="1" ht="18" customHeight="1" x14ac:dyDescent="0.2">
      <c r="GE625" s="84"/>
      <c r="GF625" s="84"/>
      <c r="GG625" s="84"/>
      <c r="GH625" s="84"/>
    </row>
    <row r="626" spans="187:190" s="2" customFormat="1" ht="18" customHeight="1" x14ac:dyDescent="0.2">
      <c r="GE626" s="84"/>
      <c r="GF626" s="84"/>
      <c r="GG626" s="84"/>
      <c r="GH626" s="84"/>
    </row>
    <row r="627" spans="187:190" s="2" customFormat="1" ht="18" customHeight="1" x14ac:dyDescent="0.2">
      <c r="GE627" s="84"/>
      <c r="GF627" s="84"/>
      <c r="GG627" s="84"/>
      <c r="GH627" s="84"/>
    </row>
    <row r="628" spans="187:190" s="2" customFormat="1" ht="18" customHeight="1" x14ac:dyDescent="0.2">
      <c r="GE628" s="84"/>
      <c r="GF628" s="84"/>
      <c r="GG628" s="84"/>
      <c r="GH628" s="84"/>
    </row>
    <row r="629" spans="187:190" s="2" customFormat="1" ht="18" customHeight="1" x14ac:dyDescent="0.2">
      <c r="GE629" s="84"/>
      <c r="GF629" s="84"/>
      <c r="GG629" s="84"/>
      <c r="GH629" s="84"/>
    </row>
    <row r="630" spans="187:190" s="2" customFormat="1" ht="18" customHeight="1" x14ac:dyDescent="0.2">
      <c r="GE630" s="84"/>
      <c r="GF630" s="84"/>
      <c r="GG630" s="84"/>
      <c r="GH630" s="84"/>
    </row>
    <row r="631" spans="187:190" s="2" customFormat="1" ht="18" customHeight="1" x14ac:dyDescent="0.2">
      <c r="GE631" s="84"/>
      <c r="GF631" s="84"/>
      <c r="GG631" s="84"/>
      <c r="GH631" s="84"/>
    </row>
    <row r="632" spans="187:190" s="2" customFormat="1" ht="18" customHeight="1" x14ac:dyDescent="0.2">
      <c r="GE632" s="84"/>
      <c r="GF632" s="84"/>
      <c r="GG632" s="84"/>
      <c r="GH632" s="84"/>
    </row>
    <row r="633" spans="187:190" s="2" customFormat="1" ht="18" customHeight="1" x14ac:dyDescent="0.2">
      <c r="GE633" s="84"/>
      <c r="GF633" s="84"/>
      <c r="GG633" s="84"/>
      <c r="GH633" s="84"/>
    </row>
    <row r="634" spans="187:190" s="2" customFormat="1" ht="18" customHeight="1" x14ac:dyDescent="0.2">
      <c r="GE634" s="84"/>
      <c r="GF634" s="84"/>
      <c r="GG634" s="84"/>
      <c r="GH634" s="84"/>
    </row>
    <row r="635" spans="187:190" s="2" customFormat="1" ht="18" customHeight="1" x14ac:dyDescent="0.2">
      <c r="GE635" s="84"/>
      <c r="GF635" s="84"/>
      <c r="GG635" s="84"/>
      <c r="GH635" s="84"/>
    </row>
    <row r="636" spans="187:190" s="2" customFormat="1" ht="18" customHeight="1" x14ac:dyDescent="0.2">
      <c r="GE636" s="84"/>
      <c r="GF636" s="84"/>
      <c r="GG636" s="84"/>
      <c r="GH636" s="84"/>
    </row>
    <row r="637" spans="187:190" s="2" customFormat="1" ht="18" customHeight="1" x14ac:dyDescent="0.2">
      <c r="GE637" s="84"/>
      <c r="GF637" s="84"/>
      <c r="GG637" s="84"/>
      <c r="GH637" s="84"/>
    </row>
    <row r="638" spans="187:190" s="2" customFormat="1" ht="18" customHeight="1" x14ac:dyDescent="0.2">
      <c r="GE638" s="84"/>
      <c r="GF638" s="84"/>
      <c r="GG638" s="84"/>
      <c r="GH638" s="84"/>
    </row>
    <row r="639" spans="187:190" s="2" customFormat="1" ht="18" customHeight="1" x14ac:dyDescent="0.2">
      <c r="GE639" s="84"/>
      <c r="GF639" s="84"/>
      <c r="GG639" s="84"/>
      <c r="GH639" s="84"/>
    </row>
    <row r="640" spans="187:190" s="2" customFormat="1" ht="18" customHeight="1" x14ac:dyDescent="0.2">
      <c r="GE640" s="84"/>
      <c r="GF640" s="84"/>
      <c r="GG640" s="84"/>
      <c r="GH640" s="84"/>
    </row>
    <row r="641" spans="187:190" s="2" customFormat="1" ht="18" customHeight="1" x14ac:dyDescent="0.2">
      <c r="GE641" s="84"/>
      <c r="GF641" s="84"/>
      <c r="GG641" s="84"/>
      <c r="GH641" s="84"/>
    </row>
    <row r="642" spans="187:190" s="2" customFormat="1" ht="18" customHeight="1" x14ac:dyDescent="0.2">
      <c r="GE642" s="84"/>
      <c r="GF642" s="84"/>
      <c r="GG642" s="84"/>
      <c r="GH642" s="84"/>
    </row>
    <row r="643" spans="187:190" s="2" customFormat="1" ht="18" customHeight="1" x14ac:dyDescent="0.2">
      <c r="GE643" s="84"/>
      <c r="GF643" s="84"/>
      <c r="GG643" s="84"/>
      <c r="GH643" s="84"/>
    </row>
    <row r="644" spans="187:190" s="2" customFormat="1" ht="18" customHeight="1" x14ac:dyDescent="0.2">
      <c r="GE644" s="84"/>
      <c r="GF644" s="84"/>
      <c r="GG644" s="84"/>
      <c r="GH644" s="84"/>
    </row>
    <row r="645" spans="187:190" s="2" customFormat="1" ht="18" customHeight="1" x14ac:dyDescent="0.2">
      <c r="GE645" s="84"/>
      <c r="GF645" s="84"/>
      <c r="GG645" s="84"/>
      <c r="GH645" s="84"/>
    </row>
    <row r="646" spans="187:190" s="2" customFormat="1" ht="18" customHeight="1" x14ac:dyDescent="0.2">
      <c r="GE646" s="84"/>
      <c r="GF646" s="84"/>
      <c r="GG646" s="84"/>
      <c r="GH646" s="84"/>
    </row>
    <row r="647" spans="187:190" s="2" customFormat="1" ht="18" customHeight="1" x14ac:dyDescent="0.2">
      <c r="GE647" s="84"/>
      <c r="GF647" s="84"/>
      <c r="GG647" s="84"/>
      <c r="GH647" s="84"/>
    </row>
    <row r="648" spans="187:190" s="2" customFormat="1" ht="18" customHeight="1" x14ac:dyDescent="0.2">
      <c r="GE648" s="84"/>
      <c r="GF648" s="84"/>
      <c r="GG648" s="84"/>
      <c r="GH648" s="84"/>
    </row>
    <row r="649" spans="187:190" s="2" customFormat="1" ht="18" customHeight="1" x14ac:dyDescent="0.2">
      <c r="GE649" s="84"/>
      <c r="GF649" s="84"/>
      <c r="GG649" s="84"/>
      <c r="GH649" s="84"/>
    </row>
    <row r="650" spans="187:190" s="2" customFormat="1" ht="18" customHeight="1" x14ac:dyDescent="0.2">
      <c r="GE650" s="84"/>
      <c r="GF650" s="84"/>
      <c r="GG650" s="84"/>
      <c r="GH650" s="84"/>
    </row>
    <row r="651" spans="187:190" s="2" customFormat="1" ht="18" customHeight="1" x14ac:dyDescent="0.2">
      <c r="GE651" s="84"/>
      <c r="GF651" s="84"/>
      <c r="GG651" s="84"/>
      <c r="GH651" s="84"/>
    </row>
    <row r="652" spans="187:190" s="2" customFormat="1" ht="18" customHeight="1" x14ac:dyDescent="0.2">
      <c r="GE652" s="84"/>
      <c r="GF652" s="84"/>
      <c r="GG652" s="84"/>
      <c r="GH652" s="84"/>
    </row>
    <row r="653" spans="187:190" s="2" customFormat="1" ht="18" customHeight="1" x14ac:dyDescent="0.2">
      <c r="GE653" s="84"/>
      <c r="GF653" s="84"/>
      <c r="GG653" s="84"/>
      <c r="GH653" s="84"/>
    </row>
    <row r="654" spans="187:190" s="2" customFormat="1" ht="18" customHeight="1" x14ac:dyDescent="0.2">
      <c r="GE654" s="84"/>
      <c r="GF654" s="84"/>
      <c r="GG654" s="84"/>
      <c r="GH654" s="84"/>
    </row>
    <row r="655" spans="187:190" s="2" customFormat="1" ht="18" customHeight="1" x14ac:dyDescent="0.2">
      <c r="GE655" s="84"/>
      <c r="GF655" s="84"/>
      <c r="GG655" s="84"/>
      <c r="GH655" s="84"/>
    </row>
    <row r="656" spans="187:190" s="2" customFormat="1" ht="18" customHeight="1" x14ac:dyDescent="0.2">
      <c r="GE656" s="84"/>
      <c r="GF656" s="84"/>
      <c r="GG656" s="84"/>
      <c r="GH656" s="84"/>
    </row>
    <row r="657" spans="187:190" s="2" customFormat="1" ht="18" customHeight="1" x14ac:dyDescent="0.2">
      <c r="GE657" s="84"/>
      <c r="GF657" s="84"/>
      <c r="GG657" s="84"/>
      <c r="GH657" s="84"/>
    </row>
    <row r="658" spans="187:190" s="2" customFormat="1" ht="18" customHeight="1" x14ac:dyDescent="0.2">
      <c r="GE658" s="84"/>
      <c r="GF658" s="84"/>
      <c r="GG658" s="84"/>
      <c r="GH658" s="84"/>
    </row>
    <row r="659" spans="187:190" s="2" customFormat="1" ht="18" customHeight="1" x14ac:dyDescent="0.2">
      <c r="GE659" s="84"/>
      <c r="GF659" s="84"/>
      <c r="GG659" s="84"/>
      <c r="GH659" s="84"/>
    </row>
    <row r="660" spans="187:190" s="2" customFormat="1" ht="18" customHeight="1" x14ac:dyDescent="0.2">
      <c r="GE660" s="84"/>
      <c r="GF660" s="84"/>
      <c r="GG660" s="84"/>
      <c r="GH660" s="84"/>
    </row>
    <row r="661" spans="187:190" s="2" customFormat="1" ht="18" customHeight="1" x14ac:dyDescent="0.2">
      <c r="GE661" s="84"/>
      <c r="GF661" s="84"/>
      <c r="GG661" s="84"/>
      <c r="GH661" s="84"/>
    </row>
    <row r="662" spans="187:190" s="2" customFormat="1" ht="18" customHeight="1" x14ac:dyDescent="0.2">
      <c r="GE662" s="84"/>
      <c r="GF662" s="84"/>
      <c r="GG662" s="84"/>
      <c r="GH662" s="84"/>
    </row>
    <row r="663" spans="187:190" s="2" customFormat="1" ht="18" customHeight="1" x14ac:dyDescent="0.2">
      <c r="GE663" s="84"/>
      <c r="GF663" s="84"/>
      <c r="GG663" s="84"/>
      <c r="GH663" s="84"/>
    </row>
    <row r="664" spans="187:190" s="2" customFormat="1" ht="18" customHeight="1" x14ac:dyDescent="0.2">
      <c r="GE664" s="84"/>
      <c r="GF664" s="84"/>
      <c r="GG664" s="84"/>
      <c r="GH664" s="84"/>
    </row>
    <row r="665" spans="187:190" s="2" customFormat="1" ht="18" customHeight="1" x14ac:dyDescent="0.2">
      <c r="GE665" s="84"/>
      <c r="GF665" s="84"/>
      <c r="GG665" s="84"/>
      <c r="GH665" s="84"/>
    </row>
    <row r="666" spans="187:190" s="2" customFormat="1" ht="18" customHeight="1" x14ac:dyDescent="0.2">
      <c r="GE666" s="84"/>
      <c r="GF666" s="84"/>
      <c r="GG666" s="84"/>
      <c r="GH666" s="84"/>
    </row>
    <row r="667" spans="187:190" s="2" customFormat="1" ht="18" customHeight="1" x14ac:dyDescent="0.2">
      <c r="GE667" s="84"/>
      <c r="GF667" s="84"/>
      <c r="GG667" s="84"/>
      <c r="GH667" s="84"/>
    </row>
    <row r="668" spans="187:190" s="2" customFormat="1" ht="18" customHeight="1" x14ac:dyDescent="0.2">
      <c r="GE668" s="84"/>
      <c r="GF668" s="84"/>
      <c r="GG668" s="84"/>
      <c r="GH668" s="84"/>
    </row>
    <row r="669" spans="187:190" s="2" customFormat="1" ht="18" customHeight="1" x14ac:dyDescent="0.2">
      <c r="GE669" s="84"/>
      <c r="GF669" s="84"/>
      <c r="GG669" s="84"/>
      <c r="GH669" s="84"/>
    </row>
    <row r="670" spans="187:190" s="2" customFormat="1" ht="18" customHeight="1" x14ac:dyDescent="0.2">
      <c r="GE670" s="84"/>
      <c r="GF670" s="84"/>
      <c r="GG670" s="84"/>
      <c r="GH670" s="84"/>
    </row>
    <row r="671" spans="187:190" s="2" customFormat="1" ht="18" customHeight="1" x14ac:dyDescent="0.2">
      <c r="GE671" s="84"/>
      <c r="GF671" s="84"/>
      <c r="GG671" s="84"/>
      <c r="GH671" s="84"/>
    </row>
    <row r="672" spans="187:190" s="2" customFormat="1" ht="18" customHeight="1" x14ac:dyDescent="0.2">
      <c r="GE672" s="84"/>
      <c r="GF672" s="84"/>
      <c r="GG672" s="84"/>
      <c r="GH672" s="84"/>
    </row>
    <row r="673" spans="187:190" s="2" customFormat="1" ht="18" customHeight="1" x14ac:dyDescent="0.2">
      <c r="GE673" s="84"/>
      <c r="GF673" s="84"/>
      <c r="GG673" s="84"/>
      <c r="GH673" s="84"/>
    </row>
    <row r="674" spans="187:190" s="2" customFormat="1" ht="18" customHeight="1" x14ac:dyDescent="0.2">
      <c r="GE674" s="84"/>
      <c r="GF674" s="84"/>
      <c r="GG674" s="84"/>
      <c r="GH674" s="84"/>
    </row>
    <row r="675" spans="187:190" s="2" customFormat="1" ht="18" customHeight="1" x14ac:dyDescent="0.2">
      <c r="GE675" s="84"/>
      <c r="GF675" s="84"/>
      <c r="GG675" s="84"/>
      <c r="GH675" s="84"/>
    </row>
    <row r="676" spans="187:190" s="2" customFormat="1" ht="18" customHeight="1" x14ac:dyDescent="0.2">
      <c r="GE676" s="84"/>
      <c r="GF676" s="84"/>
      <c r="GG676" s="84"/>
      <c r="GH676" s="84"/>
    </row>
    <row r="677" spans="187:190" s="2" customFormat="1" ht="18" customHeight="1" x14ac:dyDescent="0.2">
      <c r="GE677" s="84"/>
      <c r="GF677" s="84"/>
      <c r="GG677" s="84"/>
      <c r="GH677" s="84"/>
    </row>
    <row r="678" spans="187:190" s="2" customFormat="1" ht="18" customHeight="1" x14ac:dyDescent="0.2">
      <c r="GE678" s="84"/>
      <c r="GF678" s="84"/>
      <c r="GG678" s="84"/>
      <c r="GH678" s="84"/>
    </row>
    <row r="679" spans="187:190" s="2" customFormat="1" ht="18" customHeight="1" x14ac:dyDescent="0.2">
      <c r="GE679" s="84"/>
      <c r="GF679" s="84"/>
      <c r="GG679" s="84"/>
      <c r="GH679" s="84"/>
    </row>
    <row r="680" spans="187:190" s="2" customFormat="1" ht="18" customHeight="1" x14ac:dyDescent="0.2">
      <c r="GE680" s="84"/>
      <c r="GF680" s="84"/>
      <c r="GG680" s="84"/>
      <c r="GH680" s="84"/>
    </row>
    <row r="681" spans="187:190" s="2" customFormat="1" ht="18" customHeight="1" x14ac:dyDescent="0.2">
      <c r="GE681" s="84"/>
      <c r="GF681" s="84"/>
      <c r="GG681" s="84"/>
      <c r="GH681" s="84"/>
    </row>
    <row r="682" spans="187:190" s="2" customFormat="1" ht="18" customHeight="1" x14ac:dyDescent="0.2">
      <c r="GE682" s="84"/>
      <c r="GF682" s="84"/>
      <c r="GG682" s="84"/>
      <c r="GH682" s="84"/>
    </row>
    <row r="683" spans="187:190" s="2" customFormat="1" ht="18" customHeight="1" x14ac:dyDescent="0.2">
      <c r="GE683" s="84"/>
      <c r="GF683" s="84"/>
      <c r="GG683" s="84"/>
      <c r="GH683" s="84"/>
    </row>
    <row r="684" spans="187:190" s="2" customFormat="1" ht="18" customHeight="1" x14ac:dyDescent="0.2">
      <c r="GE684" s="84"/>
      <c r="GF684" s="84"/>
      <c r="GG684" s="84"/>
      <c r="GH684" s="84"/>
    </row>
    <row r="685" spans="187:190" s="2" customFormat="1" ht="18" customHeight="1" x14ac:dyDescent="0.2">
      <c r="GE685" s="84"/>
      <c r="GF685" s="84"/>
      <c r="GG685" s="84"/>
      <c r="GH685" s="84"/>
    </row>
    <row r="686" spans="187:190" s="2" customFormat="1" ht="18" customHeight="1" x14ac:dyDescent="0.2">
      <c r="GE686" s="84"/>
      <c r="GF686" s="84"/>
      <c r="GG686" s="84"/>
      <c r="GH686" s="84"/>
    </row>
    <row r="687" spans="187:190" s="2" customFormat="1" ht="18" customHeight="1" x14ac:dyDescent="0.2">
      <c r="GE687" s="84"/>
      <c r="GF687" s="84"/>
      <c r="GG687" s="84"/>
      <c r="GH687" s="84"/>
    </row>
    <row r="688" spans="187:190" s="2" customFormat="1" ht="18" customHeight="1" x14ac:dyDescent="0.2">
      <c r="GE688" s="84"/>
      <c r="GF688" s="84"/>
      <c r="GG688" s="84"/>
      <c r="GH688" s="84"/>
    </row>
    <row r="689" spans="187:190" s="2" customFormat="1" ht="18" customHeight="1" x14ac:dyDescent="0.2">
      <c r="GE689" s="84"/>
      <c r="GF689" s="84"/>
      <c r="GG689" s="84"/>
      <c r="GH689" s="84"/>
    </row>
    <row r="690" spans="187:190" s="2" customFormat="1" ht="18" customHeight="1" x14ac:dyDescent="0.2">
      <c r="GE690" s="84"/>
      <c r="GF690" s="84"/>
      <c r="GG690" s="84"/>
      <c r="GH690" s="84"/>
    </row>
    <row r="691" spans="187:190" s="2" customFormat="1" ht="18" customHeight="1" x14ac:dyDescent="0.2">
      <c r="GE691" s="84"/>
      <c r="GF691" s="84"/>
      <c r="GG691" s="84"/>
      <c r="GH691" s="84"/>
    </row>
    <row r="692" spans="187:190" s="2" customFormat="1" ht="18" customHeight="1" x14ac:dyDescent="0.2">
      <c r="GE692" s="84"/>
      <c r="GF692" s="84"/>
      <c r="GG692" s="84"/>
      <c r="GH692" s="84"/>
    </row>
    <row r="693" spans="187:190" s="2" customFormat="1" ht="18" customHeight="1" x14ac:dyDescent="0.2">
      <c r="GE693" s="84"/>
      <c r="GF693" s="84"/>
      <c r="GG693" s="84"/>
      <c r="GH693" s="84"/>
    </row>
    <row r="694" spans="187:190" s="2" customFormat="1" ht="18" customHeight="1" x14ac:dyDescent="0.2">
      <c r="GE694" s="84"/>
      <c r="GF694" s="84"/>
      <c r="GG694" s="84"/>
      <c r="GH694" s="84"/>
    </row>
    <row r="695" spans="187:190" s="2" customFormat="1" ht="18" customHeight="1" x14ac:dyDescent="0.2">
      <c r="GE695" s="84"/>
      <c r="GF695" s="84"/>
      <c r="GG695" s="84"/>
      <c r="GH695" s="84"/>
    </row>
    <row r="696" spans="187:190" s="2" customFormat="1" ht="18" customHeight="1" x14ac:dyDescent="0.2">
      <c r="GE696" s="84"/>
      <c r="GF696" s="84"/>
      <c r="GG696" s="84"/>
      <c r="GH696" s="84"/>
    </row>
    <row r="697" spans="187:190" s="2" customFormat="1" ht="18" customHeight="1" x14ac:dyDescent="0.2">
      <c r="GE697" s="84"/>
      <c r="GF697" s="84"/>
      <c r="GG697" s="84"/>
      <c r="GH697" s="84"/>
    </row>
    <row r="698" spans="187:190" s="2" customFormat="1" ht="18" customHeight="1" x14ac:dyDescent="0.2">
      <c r="GE698" s="84"/>
      <c r="GF698" s="84"/>
      <c r="GG698" s="84"/>
      <c r="GH698" s="84"/>
    </row>
    <row r="699" spans="187:190" s="2" customFormat="1" ht="18" customHeight="1" x14ac:dyDescent="0.2">
      <c r="GE699" s="84"/>
      <c r="GF699" s="84"/>
      <c r="GG699" s="84"/>
      <c r="GH699" s="84"/>
    </row>
    <row r="700" spans="187:190" s="2" customFormat="1" ht="18" customHeight="1" x14ac:dyDescent="0.2">
      <c r="GE700" s="84"/>
      <c r="GF700" s="84"/>
      <c r="GG700" s="84"/>
      <c r="GH700" s="84"/>
    </row>
    <row r="701" spans="187:190" s="2" customFormat="1" ht="18" customHeight="1" x14ac:dyDescent="0.2">
      <c r="GE701" s="84"/>
      <c r="GF701" s="84"/>
      <c r="GG701" s="84"/>
      <c r="GH701" s="84"/>
    </row>
    <row r="702" spans="187:190" s="2" customFormat="1" ht="18" customHeight="1" x14ac:dyDescent="0.2">
      <c r="GE702" s="84"/>
      <c r="GF702" s="84"/>
      <c r="GG702" s="84"/>
      <c r="GH702" s="84"/>
    </row>
    <row r="703" spans="187:190" s="2" customFormat="1" ht="18" customHeight="1" x14ac:dyDescent="0.2">
      <c r="GE703" s="84"/>
      <c r="GF703" s="84"/>
      <c r="GG703" s="84"/>
      <c r="GH703" s="84"/>
    </row>
    <row r="704" spans="187:190" s="2" customFormat="1" ht="18" customHeight="1" x14ac:dyDescent="0.2">
      <c r="GE704" s="84"/>
      <c r="GF704" s="84"/>
      <c r="GG704" s="84"/>
      <c r="GH704" s="84"/>
    </row>
    <row r="705" spans="187:190" s="2" customFormat="1" ht="18" customHeight="1" x14ac:dyDescent="0.2">
      <c r="GE705" s="84"/>
      <c r="GF705" s="84"/>
      <c r="GG705" s="84"/>
      <c r="GH705" s="84"/>
    </row>
    <row r="706" spans="187:190" s="2" customFormat="1" ht="18" customHeight="1" x14ac:dyDescent="0.2">
      <c r="GE706" s="84"/>
      <c r="GF706" s="84"/>
      <c r="GG706" s="84"/>
      <c r="GH706" s="84"/>
    </row>
    <row r="707" spans="187:190" s="2" customFormat="1" ht="18" customHeight="1" x14ac:dyDescent="0.2">
      <c r="GE707" s="84"/>
      <c r="GF707" s="84"/>
      <c r="GG707" s="84"/>
      <c r="GH707" s="84"/>
    </row>
    <row r="708" spans="187:190" s="2" customFormat="1" ht="18" customHeight="1" x14ac:dyDescent="0.2">
      <c r="GE708" s="84"/>
      <c r="GF708" s="84"/>
      <c r="GG708" s="84"/>
      <c r="GH708" s="84"/>
    </row>
    <row r="709" spans="187:190" s="2" customFormat="1" ht="18" customHeight="1" x14ac:dyDescent="0.2">
      <c r="GE709" s="84"/>
      <c r="GF709" s="84"/>
      <c r="GG709" s="84"/>
      <c r="GH709" s="84"/>
    </row>
    <row r="710" spans="187:190" s="2" customFormat="1" ht="18" customHeight="1" x14ac:dyDescent="0.2">
      <c r="GE710" s="84"/>
      <c r="GF710" s="84"/>
      <c r="GG710" s="84"/>
      <c r="GH710" s="84"/>
    </row>
    <row r="711" spans="187:190" s="2" customFormat="1" ht="18" customHeight="1" x14ac:dyDescent="0.2">
      <c r="GE711" s="84"/>
      <c r="GF711" s="84"/>
      <c r="GG711" s="84"/>
      <c r="GH711" s="84"/>
    </row>
    <row r="712" spans="187:190" s="2" customFormat="1" ht="18" customHeight="1" x14ac:dyDescent="0.2">
      <c r="GE712" s="84"/>
      <c r="GF712" s="84"/>
      <c r="GG712" s="84"/>
      <c r="GH712" s="84"/>
    </row>
    <row r="713" spans="187:190" s="2" customFormat="1" ht="18" customHeight="1" x14ac:dyDescent="0.2">
      <c r="GE713" s="84"/>
      <c r="GF713" s="84"/>
      <c r="GG713" s="84"/>
      <c r="GH713" s="84"/>
    </row>
    <row r="714" spans="187:190" s="2" customFormat="1" ht="18" customHeight="1" x14ac:dyDescent="0.2">
      <c r="GE714" s="84"/>
      <c r="GF714" s="84"/>
      <c r="GG714" s="84"/>
      <c r="GH714" s="84"/>
    </row>
    <row r="715" spans="187:190" s="2" customFormat="1" ht="18" customHeight="1" x14ac:dyDescent="0.2">
      <c r="GE715" s="84"/>
      <c r="GF715" s="84"/>
      <c r="GG715" s="84"/>
      <c r="GH715" s="84"/>
    </row>
    <row r="716" spans="187:190" s="2" customFormat="1" ht="18" customHeight="1" x14ac:dyDescent="0.2">
      <c r="GE716" s="84"/>
      <c r="GF716" s="84"/>
      <c r="GG716" s="84"/>
      <c r="GH716" s="84"/>
    </row>
    <row r="717" spans="187:190" s="2" customFormat="1" ht="18" customHeight="1" x14ac:dyDescent="0.2">
      <c r="GE717" s="84"/>
      <c r="GF717" s="84"/>
      <c r="GG717" s="84"/>
      <c r="GH717" s="84"/>
    </row>
    <row r="718" spans="187:190" s="2" customFormat="1" ht="18" customHeight="1" x14ac:dyDescent="0.2">
      <c r="GE718" s="84"/>
      <c r="GF718" s="84"/>
      <c r="GG718" s="84"/>
      <c r="GH718" s="84"/>
    </row>
    <row r="719" spans="187:190" s="2" customFormat="1" ht="18" customHeight="1" x14ac:dyDescent="0.2">
      <c r="GE719" s="84"/>
      <c r="GF719" s="84"/>
      <c r="GG719" s="84"/>
      <c r="GH719" s="84"/>
    </row>
    <row r="720" spans="187:190" s="2" customFormat="1" ht="18" customHeight="1" x14ac:dyDescent="0.2">
      <c r="GE720" s="84"/>
      <c r="GF720" s="84"/>
      <c r="GG720" s="84"/>
      <c r="GH720" s="84"/>
    </row>
    <row r="721" spans="187:190" s="2" customFormat="1" ht="18" customHeight="1" x14ac:dyDescent="0.2">
      <c r="GE721" s="84"/>
      <c r="GF721" s="84"/>
      <c r="GG721" s="84"/>
      <c r="GH721" s="84"/>
    </row>
    <row r="722" spans="187:190" s="2" customFormat="1" ht="18" customHeight="1" x14ac:dyDescent="0.2">
      <c r="GE722" s="84"/>
      <c r="GF722" s="84"/>
      <c r="GG722" s="84"/>
      <c r="GH722" s="84"/>
    </row>
    <row r="723" spans="187:190" s="2" customFormat="1" ht="18" customHeight="1" x14ac:dyDescent="0.2">
      <c r="GE723" s="84"/>
      <c r="GF723" s="84"/>
      <c r="GG723" s="84"/>
      <c r="GH723" s="84"/>
    </row>
    <row r="724" spans="187:190" s="2" customFormat="1" ht="18" customHeight="1" x14ac:dyDescent="0.2">
      <c r="GE724" s="84"/>
      <c r="GF724" s="84"/>
      <c r="GG724" s="84"/>
      <c r="GH724" s="84"/>
    </row>
    <row r="725" spans="187:190" s="2" customFormat="1" ht="18" customHeight="1" x14ac:dyDescent="0.2">
      <c r="GE725" s="84"/>
      <c r="GF725" s="84"/>
      <c r="GG725" s="84"/>
      <c r="GH725" s="84"/>
    </row>
    <row r="726" spans="187:190" s="2" customFormat="1" ht="18" customHeight="1" x14ac:dyDescent="0.2">
      <c r="GE726" s="84"/>
      <c r="GF726" s="84"/>
      <c r="GG726" s="84"/>
      <c r="GH726" s="84"/>
    </row>
    <row r="727" spans="187:190" s="2" customFormat="1" ht="18" customHeight="1" x14ac:dyDescent="0.2">
      <c r="GE727" s="84"/>
      <c r="GF727" s="84"/>
      <c r="GG727" s="84"/>
      <c r="GH727" s="84"/>
    </row>
    <row r="728" spans="187:190" s="2" customFormat="1" ht="18" customHeight="1" x14ac:dyDescent="0.2">
      <c r="GE728" s="84"/>
      <c r="GF728" s="84"/>
      <c r="GG728" s="84"/>
      <c r="GH728" s="84"/>
    </row>
    <row r="729" spans="187:190" s="2" customFormat="1" ht="18" customHeight="1" x14ac:dyDescent="0.2">
      <c r="GE729" s="84"/>
      <c r="GF729" s="84"/>
      <c r="GG729" s="84"/>
      <c r="GH729" s="84"/>
    </row>
    <row r="730" spans="187:190" s="2" customFormat="1" ht="18" customHeight="1" x14ac:dyDescent="0.2">
      <c r="GE730" s="84"/>
      <c r="GF730" s="84"/>
      <c r="GG730" s="84"/>
      <c r="GH730" s="84"/>
    </row>
    <row r="731" spans="187:190" s="2" customFormat="1" ht="18" customHeight="1" x14ac:dyDescent="0.2">
      <c r="GE731" s="84"/>
      <c r="GF731" s="84"/>
      <c r="GG731" s="84"/>
      <c r="GH731" s="84"/>
    </row>
    <row r="732" spans="187:190" s="2" customFormat="1" ht="18" customHeight="1" x14ac:dyDescent="0.2">
      <c r="GE732" s="84"/>
      <c r="GF732" s="84"/>
      <c r="GG732" s="84"/>
      <c r="GH732" s="84"/>
    </row>
    <row r="733" spans="187:190" s="2" customFormat="1" ht="18" customHeight="1" x14ac:dyDescent="0.2">
      <c r="GE733" s="84"/>
      <c r="GF733" s="84"/>
      <c r="GG733" s="84"/>
      <c r="GH733" s="84"/>
    </row>
    <row r="734" spans="187:190" s="2" customFormat="1" ht="18" customHeight="1" x14ac:dyDescent="0.2">
      <c r="GE734" s="84"/>
      <c r="GF734" s="84"/>
      <c r="GG734" s="84"/>
      <c r="GH734" s="84"/>
    </row>
    <row r="735" spans="187:190" s="2" customFormat="1" ht="18" customHeight="1" x14ac:dyDescent="0.2">
      <c r="GE735" s="84"/>
      <c r="GF735" s="84"/>
      <c r="GG735" s="84"/>
      <c r="GH735" s="84"/>
    </row>
    <row r="736" spans="187:190" s="2" customFormat="1" ht="18" customHeight="1" x14ac:dyDescent="0.2">
      <c r="GE736" s="84"/>
      <c r="GF736" s="84"/>
      <c r="GG736" s="84"/>
      <c r="GH736" s="84"/>
    </row>
    <row r="737" spans="187:190" s="2" customFormat="1" ht="18" customHeight="1" x14ac:dyDescent="0.2">
      <c r="GE737" s="84"/>
      <c r="GF737" s="84"/>
      <c r="GG737" s="84"/>
      <c r="GH737" s="84"/>
    </row>
    <row r="738" spans="187:190" s="2" customFormat="1" ht="18" customHeight="1" x14ac:dyDescent="0.2">
      <c r="GE738" s="84"/>
      <c r="GF738" s="84"/>
      <c r="GG738" s="84"/>
      <c r="GH738" s="84"/>
    </row>
    <row r="739" spans="187:190" s="2" customFormat="1" ht="18" customHeight="1" x14ac:dyDescent="0.2">
      <c r="GE739" s="84"/>
      <c r="GF739" s="84"/>
      <c r="GG739" s="84"/>
      <c r="GH739" s="84"/>
    </row>
    <row r="740" spans="187:190" s="2" customFormat="1" ht="18" customHeight="1" x14ac:dyDescent="0.2">
      <c r="GE740" s="84"/>
      <c r="GF740" s="84"/>
      <c r="GG740" s="84"/>
      <c r="GH740" s="84"/>
    </row>
    <row r="741" spans="187:190" s="2" customFormat="1" ht="18" customHeight="1" x14ac:dyDescent="0.2">
      <c r="GE741" s="84"/>
      <c r="GF741" s="84"/>
      <c r="GG741" s="84"/>
      <c r="GH741" s="84"/>
    </row>
    <row r="742" spans="187:190" s="2" customFormat="1" ht="18" customHeight="1" x14ac:dyDescent="0.2">
      <c r="GE742" s="84"/>
      <c r="GF742" s="84"/>
      <c r="GG742" s="84"/>
      <c r="GH742" s="84"/>
    </row>
    <row r="743" spans="187:190" s="2" customFormat="1" ht="18" customHeight="1" x14ac:dyDescent="0.2">
      <c r="GE743" s="84"/>
      <c r="GF743" s="84"/>
      <c r="GG743" s="84"/>
      <c r="GH743" s="84"/>
    </row>
    <row r="744" spans="187:190" s="2" customFormat="1" ht="18" customHeight="1" x14ac:dyDescent="0.2">
      <c r="GE744" s="84"/>
      <c r="GF744" s="84"/>
      <c r="GG744" s="84"/>
      <c r="GH744" s="84"/>
    </row>
    <row r="745" spans="187:190" s="2" customFormat="1" ht="18" customHeight="1" x14ac:dyDescent="0.2">
      <c r="GE745" s="84"/>
      <c r="GF745" s="84"/>
      <c r="GG745" s="84"/>
      <c r="GH745" s="84"/>
    </row>
    <row r="746" spans="187:190" s="2" customFormat="1" ht="18" customHeight="1" x14ac:dyDescent="0.2">
      <c r="GE746" s="84"/>
      <c r="GF746" s="84"/>
      <c r="GG746" s="84"/>
      <c r="GH746" s="84"/>
    </row>
    <row r="747" spans="187:190" s="2" customFormat="1" ht="18" customHeight="1" x14ac:dyDescent="0.2">
      <c r="GE747" s="84"/>
      <c r="GF747" s="84"/>
      <c r="GG747" s="84"/>
      <c r="GH747" s="84"/>
    </row>
    <row r="748" spans="187:190" s="2" customFormat="1" ht="18" customHeight="1" x14ac:dyDescent="0.2">
      <c r="GE748" s="84"/>
      <c r="GF748" s="84"/>
      <c r="GG748" s="84"/>
      <c r="GH748" s="84"/>
    </row>
    <row r="749" spans="187:190" s="2" customFormat="1" ht="18" customHeight="1" x14ac:dyDescent="0.2">
      <c r="GE749" s="84"/>
      <c r="GF749" s="84"/>
      <c r="GG749" s="84"/>
      <c r="GH749" s="84"/>
    </row>
    <row r="750" spans="187:190" s="2" customFormat="1" ht="18" customHeight="1" x14ac:dyDescent="0.2">
      <c r="GE750" s="84"/>
      <c r="GF750" s="84"/>
      <c r="GG750" s="84"/>
      <c r="GH750" s="84"/>
    </row>
    <row r="751" spans="187:190" s="2" customFormat="1" ht="18" customHeight="1" x14ac:dyDescent="0.2">
      <c r="GE751" s="84"/>
      <c r="GF751" s="84"/>
      <c r="GG751" s="84"/>
      <c r="GH751" s="84"/>
    </row>
    <row r="752" spans="187:190" s="2" customFormat="1" ht="18" customHeight="1" x14ac:dyDescent="0.2">
      <c r="GE752" s="84"/>
      <c r="GF752" s="84"/>
      <c r="GG752" s="84"/>
      <c r="GH752" s="84"/>
    </row>
    <row r="753" spans="187:190" s="2" customFormat="1" ht="18" customHeight="1" x14ac:dyDescent="0.2">
      <c r="GE753" s="84"/>
      <c r="GF753" s="84"/>
      <c r="GG753" s="84"/>
      <c r="GH753" s="84"/>
    </row>
    <row r="754" spans="187:190" s="2" customFormat="1" ht="18" customHeight="1" x14ac:dyDescent="0.2">
      <c r="GE754" s="84"/>
      <c r="GF754" s="84"/>
      <c r="GG754" s="84"/>
      <c r="GH754" s="84"/>
    </row>
    <row r="755" spans="187:190" s="2" customFormat="1" ht="18" customHeight="1" x14ac:dyDescent="0.2">
      <c r="GE755" s="84"/>
      <c r="GF755" s="84"/>
      <c r="GG755" s="84"/>
      <c r="GH755" s="84"/>
    </row>
    <row r="756" spans="187:190" s="2" customFormat="1" ht="18" customHeight="1" x14ac:dyDescent="0.2">
      <c r="GE756" s="84"/>
      <c r="GF756" s="84"/>
      <c r="GG756" s="84"/>
      <c r="GH756" s="84"/>
    </row>
    <row r="757" spans="187:190" s="2" customFormat="1" ht="18" customHeight="1" x14ac:dyDescent="0.2">
      <c r="GE757" s="84"/>
      <c r="GF757" s="84"/>
      <c r="GG757" s="84"/>
      <c r="GH757" s="84"/>
    </row>
    <row r="758" spans="187:190" s="2" customFormat="1" ht="18" customHeight="1" x14ac:dyDescent="0.2">
      <c r="GE758" s="84"/>
      <c r="GF758" s="84"/>
      <c r="GG758" s="84"/>
      <c r="GH758" s="84"/>
    </row>
    <row r="759" spans="187:190" s="2" customFormat="1" ht="18" customHeight="1" x14ac:dyDescent="0.2">
      <c r="GE759" s="84"/>
      <c r="GF759" s="84"/>
      <c r="GG759" s="84"/>
      <c r="GH759" s="84"/>
    </row>
    <row r="760" spans="187:190" s="2" customFormat="1" ht="18" customHeight="1" x14ac:dyDescent="0.2">
      <c r="GE760" s="84"/>
      <c r="GF760" s="84"/>
      <c r="GG760" s="84"/>
      <c r="GH760" s="84"/>
    </row>
    <row r="761" spans="187:190" s="2" customFormat="1" ht="18" customHeight="1" x14ac:dyDescent="0.2">
      <c r="GE761" s="84"/>
      <c r="GF761" s="84"/>
      <c r="GG761" s="84"/>
      <c r="GH761" s="84"/>
    </row>
    <row r="762" spans="187:190" s="2" customFormat="1" ht="18" customHeight="1" x14ac:dyDescent="0.2">
      <c r="GE762" s="84"/>
      <c r="GF762" s="84"/>
      <c r="GG762" s="84"/>
      <c r="GH762" s="84"/>
    </row>
    <row r="763" spans="187:190" s="2" customFormat="1" ht="18" customHeight="1" x14ac:dyDescent="0.2">
      <c r="GE763" s="84"/>
      <c r="GF763" s="84"/>
      <c r="GG763" s="84"/>
      <c r="GH763" s="84"/>
    </row>
    <row r="764" spans="187:190" s="2" customFormat="1" ht="18" customHeight="1" x14ac:dyDescent="0.2">
      <c r="GE764" s="84"/>
      <c r="GF764" s="84"/>
      <c r="GG764" s="84"/>
      <c r="GH764" s="84"/>
    </row>
    <row r="765" spans="187:190" s="2" customFormat="1" ht="18" customHeight="1" x14ac:dyDescent="0.2">
      <c r="GE765" s="84"/>
      <c r="GF765" s="84"/>
      <c r="GG765" s="84"/>
      <c r="GH765" s="84"/>
    </row>
    <row r="766" spans="187:190" s="2" customFormat="1" ht="18" customHeight="1" x14ac:dyDescent="0.2">
      <c r="GE766" s="84"/>
      <c r="GF766" s="84"/>
      <c r="GG766" s="84"/>
      <c r="GH766" s="84"/>
    </row>
    <row r="767" spans="187:190" s="2" customFormat="1" ht="18" customHeight="1" x14ac:dyDescent="0.2">
      <c r="GE767" s="84"/>
      <c r="GF767" s="84"/>
      <c r="GG767" s="84"/>
      <c r="GH767" s="84"/>
    </row>
    <row r="768" spans="187:190" s="2" customFormat="1" ht="18" customHeight="1" x14ac:dyDescent="0.2">
      <c r="GE768" s="84"/>
      <c r="GF768" s="84"/>
      <c r="GG768" s="84"/>
      <c r="GH768" s="84"/>
    </row>
    <row r="769" spans="187:190" s="2" customFormat="1" ht="18" customHeight="1" x14ac:dyDescent="0.2">
      <c r="GE769" s="84"/>
      <c r="GF769" s="84"/>
      <c r="GG769" s="84"/>
      <c r="GH769" s="84"/>
    </row>
    <row r="770" spans="187:190" s="2" customFormat="1" ht="18" customHeight="1" x14ac:dyDescent="0.2">
      <c r="GE770" s="84"/>
      <c r="GF770" s="84"/>
      <c r="GG770" s="84"/>
      <c r="GH770" s="84"/>
    </row>
    <row r="771" spans="187:190" s="2" customFormat="1" ht="18" customHeight="1" x14ac:dyDescent="0.2">
      <c r="GE771" s="84"/>
      <c r="GF771" s="84"/>
      <c r="GG771" s="84"/>
      <c r="GH771" s="84"/>
    </row>
    <row r="772" spans="187:190" s="2" customFormat="1" ht="18" customHeight="1" x14ac:dyDescent="0.2">
      <c r="GE772" s="84"/>
      <c r="GF772" s="84"/>
      <c r="GG772" s="84"/>
      <c r="GH772" s="84"/>
    </row>
    <row r="773" spans="187:190" s="2" customFormat="1" ht="18" customHeight="1" x14ac:dyDescent="0.2">
      <c r="GE773" s="84"/>
      <c r="GF773" s="84"/>
      <c r="GG773" s="84"/>
      <c r="GH773" s="84"/>
    </row>
    <row r="774" spans="187:190" s="2" customFormat="1" ht="18" customHeight="1" x14ac:dyDescent="0.2">
      <c r="GE774" s="84"/>
      <c r="GF774" s="84"/>
      <c r="GG774" s="84"/>
      <c r="GH774" s="84"/>
    </row>
    <row r="775" spans="187:190" s="2" customFormat="1" ht="18" customHeight="1" x14ac:dyDescent="0.2">
      <c r="GE775" s="84"/>
      <c r="GF775" s="84"/>
      <c r="GG775" s="84"/>
      <c r="GH775" s="84"/>
    </row>
    <row r="776" spans="187:190" s="2" customFormat="1" ht="18" customHeight="1" x14ac:dyDescent="0.2">
      <c r="GE776" s="84"/>
      <c r="GF776" s="84"/>
      <c r="GG776" s="84"/>
      <c r="GH776" s="84"/>
    </row>
    <row r="777" spans="187:190" s="2" customFormat="1" ht="18" customHeight="1" x14ac:dyDescent="0.2">
      <c r="GE777" s="84"/>
      <c r="GF777" s="84"/>
      <c r="GG777" s="84"/>
      <c r="GH777" s="84"/>
    </row>
    <row r="778" spans="187:190" s="2" customFormat="1" ht="18" customHeight="1" x14ac:dyDescent="0.2">
      <c r="GE778" s="84"/>
      <c r="GF778" s="84"/>
      <c r="GG778" s="84"/>
      <c r="GH778" s="84"/>
    </row>
    <row r="779" spans="187:190" s="2" customFormat="1" ht="18" customHeight="1" x14ac:dyDescent="0.2">
      <c r="GE779" s="84"/>
      <c r="GF779" s="84"/>
      <c r="GG779" s="84"/>
      <c r="GH779" s="84"/>
    </row>
    <row r="780" spans="187:190" s="2" customFormat="1" ht="18" customHeight="1" x14ac:dyDescent="0.2">
      <c r="GE780" s="84"/>
      <c r="GF780" s="84"/>
      <c r="GG780" s="84"/>
      <c r="GH780" s="84"/>
    </row>
    <row r="781" spans="187:190" s="2" customFormat="1" ht="18" customHeight="1" x14ac:dyDescent="0.2">
      <c r="GE781" s="84"/>
      <c r="GF781" s="84"/>
      <c r="GG781" s="84"/>
      <c r="GH781" s="84"/>
    </row>
    <row r="782" spans="187:190" s="2" customFormat="1" ht="18" customHeight="1" x14ac:dyDescent="0.2">
      <c r="GE782" s="84"/>
      <c r="GF782" s="84"/>
      <c r="GG782" s="84"/>
      <c r="GH782" s="84"/>
    </row>
    <row r="783" spans="187:190" s="2" customFormat="1" ht="18" customHeight="1" x14ac:dyDescent="0.2">
      <c r="GE783" s="84"/>
      <c r="GF783" s="84"/>
      <c r="GG783" s="84"/>
      <c r="GH783" s="84"/>
    </row>
    <row r="784" spans="187:190" s="2" customFormat="1" ht="18" customHeight="1" x14ac:dyDescent="0.2">
      <c r="GE784" s="84"/>
      <c r="GF784" s="84"/>
      <c r="GG784" s="84"/>
      <c r="GH784" s="84"/>
    </row>
    <row r="785" spans="187:190" s="2" customFormat="1" ht="18" customHeight="1" x14ac:dyDescent="0.2">
      <c r="GE785" s="84"/>
      <c r="GF785" s="84"/>
      <c r="GG785" s="84"/>
      <c r="GH785" s="84"/>
    </row>
    <row r="786" spans="187:190" s="2" customFormat="1" ht="18" customHeight="1" x14ac:dyDescent="0.2">
      <c r="GE786" s="84"/>
      <c r="GF786" s="84"/>
      <c r="GG786" s="84"/>
      <c r="GH786" s="84"/>
    </row>
    <row r="787" spans="187:190" s="2" customFormat="1" ht="18" customHeight="1" x14ac:dyDescent="0.2">
      <c r="GE787" s="84"/>
      <c r="GF787" s="84"/>
      <c r="GG787" s="84"/>
      <c r="GH787" s="84"/>
    </row>
    <row r="788" spans="187:190" s="2" customFormat="1" ht="18" customHeight="1" x14ac:dyDescent="0.2">
      <c r="GE788" s="84"/>
      <c r="GF788" s="84"/>
      <c r="GG788" s="84"/>
      <c r="GH788" s="84"/>
    </row>
    <row r="789" spans="187:190" s="2" customFormat="1" ht="18" customHeight="1" x14ac:dyDescent="0.2">
      <c r="GE789" s="84"/>
      <c r="GF789" s="84"/>
      <c r="GG789" s="84"/>
      <c r="GH789" s="84"/>
    </row>
    <row r="790" spans="187:190" s="2" customFormat="1" ht="18" customHeight="1" x14ac:dyDescent="0.2">
      <c r="GE790" s="84"/>
      <c r="GF790" s="84"/>
      <c r="GG790" s="84"/>
      <c r="GH790" s="84"/>
    </row>
    <row r="791" spans="187:190" s="2" customFormat="1" ht="18" customHeight="1" x14ac:dyDescent="0.2">
      <c r="GE791" s="84"/>
      <c r="GF791" s="84"/>
      <c r="GG791" s="84"/>
      <c r="GH791" s="84"/>
    </row>
    <row r="792" spans="187:190" s="2" customFormat="1" ht="18" customHeight="1" x14ac:dyDescent="0.2">
      <c r="GE792" s="84"/>
      <c r="GF792" s="84"/>
      <c r="GG792" s="84"/>
      <c r="GH792" s="84"/>
    </row>
    <row r="793" spans="187:190" s="2" customFormat="1" ht="18" customHeight="1" x14ac:dyDescent="0.2">
      <c r="GE793" s="84"/>
      <c r="GF793" s="84"/>
      <c r="GG793" s="84"/>
      <c r="GH793" s="84"/>
    </row>
    <row r="794" spans="187:190" s="2" customFormat="1" ht="18" customHeight="1" x14ac:dyDescent="0.2">
      <c r="GE794" s="84"/>
      <c r="GF794" s="84"/>
      <c r="GG794" s="84"/>
      <c r="GH794" s="84"/>
    </row>
    <row r="795" spans="187:190" s="2" customFormat="1" ht="18" customHeight="1" x14ac:dyDescent="0.2">
      <c r="GE795" s="84"/>
      <c r="GF795" s="84"/>
      <c r="GG795" s="84"/>
      <c r="GH795" s="84"/>
    </row>
    <row r="796" spans="187:190" s="2" customFormat="1" ht="18" customHeight="1" x14ac:dyDescent="0.2">
      <c r="GE796" s="84"/>
      <c r="GF796" s="84"/>
      <c r="GG796" s="84"/>
      <c r="GH796" s="84"/>
    </row>
    <row r="797" spans="187:190" s="2" customFormat="1" ht="18" customHeight="1" x14ac:dyDescent="0.2">
      <c r="GE797" s="84"/>
      <c r="GF797" s="84"/>
      <c r="GG797" s="84"/>
      <c r="GH797" s="84"/>
    </row>
    <row r="798" spans="187:190" s="2" customFormat="1" ht="18" customHeight="1" x14ac:dyDescent="0.2">
      <c r="GE798" s="84"/>
      <c r="GF798" s="84"/>
      <c r="GG798" s="84"/>
      <c r="GH798" s="84"/>
    </row>
    <row r="799" spans="187:190" s="2" customFormat="1" ht="18" customHeight="1" x14ac:dyDescent="0.2">
      <c r="GE799" s="84"/>
      <c r="GF799" s="84"/>
      <c r="GG799" s="84"/>
      <c r="GH799" s="84"/>
    </row>
    <row r="800" spans="187:190" s="2" customFormat="1" ht="18" customHeight="1" x14ac:dyDescent="0.2">
      <c r="GE800" s="84"/>
      <c r="GF800" s="84"/>
      <c r="GG800" s="84"/>
      <c r="GH800" s="84"/>
    </row>
    <row r="801" spans="187:190" s="2" customFormat="1" ht="18" customHeight="1" x14ac:dyDescent="0.2">
      <c r="GE801" s="84"/>
      <c r="GF801" s="84"/>
      <c r="GG801" s="84"/>
      <c r="GH801" s="84"/>
    </row>
    <row r="802" spans="187:190" s="2" customFormat="1" ht="18" customHeight="1" x14ac:dyDescent="0.2">
      <c r="GE802" s="84"/>
      <c r="GF802" s="84"/>
      <c r="GG802" s="84"/>
      <c r="GH802" s="84"/>
    </row>
    <row r="803" spans="187:190" s="2" customFormat="1" ht="18" customHeight="1" x14ac:dyDescent="0.2">
      <c r="GE803" s="84"/>
      <c r="GF803" s="84"/>
      <c r="GG803" s="84"/>
      <c r="GH803" s="84"/>
    </row>
    <row r="804" spans="187:190" s="2" customFormat="1" ht="18" customHeight="1" x14ac:dyDescent="0.2">
      <c r="GE804" s="84"/>
      <c r="GF804" s="84"/>
      <c r="GG804" s="84"/>
      <c r="GH804" s="84"/>
    </row>
    <row r="805" spans="187:190" s="2" customFormat="1" ht="18" customHeight="1" x14ac:dyDescent="0.2">
      <c r="GE805" s="84"/>
      <c r="GF805" s="84"/>
      <c r="GG805" s="84"/>
      <c r="GH805" s="84"/>
    </row>
    <row r="806" spans="187:190" s="2" customFormat="1" ht="18" customHeight="1" x14ac:dyDescent="0.2">
      <c r="GE806" s="84"/>
      <c r="GF806" s="84"/>
      <c r="GG806" s="84"/>
      <c r="GH806" s="84"/>
    </row>
    <row r="807" spans="187:190" s="2" customFormat="1" ht="18" customHeight="1" x14ac:dyDescent="0.2">
      <c r="GE807" s="84"/>
      <c r="GF807" s="84"/>
      <c r="GG807" s="84"/>
      <c r="GH807" s="84"/>
    </row>
    <row r="808" spans="187:190" s="2" customFormat="1" ht="18" customHeight="1" x14ac:dyDescent="0.2">
      <c r="GE808" s="84"/>
      <c r="GF808" s="84"/>
      <c r="GG808" s="84"/>
      <c r="GH808" s="84"/>
    </row>
    <row r="809" spans="187:190" s="2" customFormat="1" ht="18" customHeight="1" x14ac:dyDescent="0.2">
      <c r="GE809" s="84"/>
      <c r="GF809" s="84"/>
      <c r="GG809" s="84"/>
      <c r="GH809" s="84"/>
    </row>
    <row r="810" spans="187:190" s="2" customFormat="1" ht="18" customHeight="1" x14ac:dyDescent="0.2">
      <c r="GE810" s="84"/>
      <c r="GF810" s="84"/>
      <c r="GG810" s="84"/>
      <c r="GH810" s="84"/>
    </row>
    <row r="811" spans="187:190" s="2" customFormat="1" ht="18" customHeight="1" x14ac:dyDescent="0.2">
      <c r="GE811" s="84"/>
      <c r="GF811" s="84"/>
      <c r="GG811" s="84"/>
      <c r="GH811" s="84"/>
    </row>
    <row r="812" spans="187:190" s="2" customFormat="1" ht="18" customHeight="1" x14ac:dyDescent="0.2">
      <c r="GE812" s="84"/>
      <c r="GF812" s="84"/>
      <c r="GG812" s="84"/>
      <c r="GH812" s="84"/>
    </row>
    <row r="813" spans="187:190" s="2" customFormat="1" ht="18" customHeight="1" x14ac:dyDescent="0.2">
      <c r="GE813" s="84"/>
      <c r="GF813" s="84"/>
      <c r="GG813" s="84"/>
      <c r="GH813" s="84"/>
    </row>
    <row r="814" spans="187:190" s="2" customFormat="1" ht="18" customHeight="1" x14ac:dyDescent="0.2">
      <c r="GE814" s="84"/>
      <c r="GF814" s="84"/>
      <c r="GG814" s="84"/>
      <c r="GH814" s="84"/>
    </row>
    <row r="815" spans="187:190" s="2" customFormat="1" ht="18" customHeight="1" x14ac:dyDescent="0.2">
      <c r="GE815" s="84"/>
      <c r="GF815" s="84"/>
      <c r="GG815" s="84"/>
      <c r="GH815" s="84"/>
    </row>
    <row r="816" spans="187:190" s="2" customFormat="1" ht="18" customHeight="1" x14ac:dyDescent="0.2">
      <c r="GE816" s="84"/>
      <c r="GF816" s="84"/>
      <c r="GG816" s="84"/>
      <c r="GH816" s="84"/>
    </row>
    <row r="817" spans="187:190" s="2" customFormat="1" ht="18" customHeight="1" x14ac:dyDescent="0.2">
      <c r="GE817" s="84"/>
      <c r="GF817" s="84"/>
      <c r="GG817" s="84"/>
      <c r="GH817" s="84"/>
    </row>
    <row r="818" spans="187:190" s="2" customFormat="1" ht="18" customHeight="1" x14ac:dyDescent="0.2">
      <c r="GE818" s="84"/>
      <c r="GF818" s="84"/>
      <c r="GG818" s="84"/>
      <c r="GH818" s="84"/>
    </row>
    <row r="819" spans="187:190" s="2" customFormat="1" ht="18" customHeight="1" x14ac:dyDescent="0.2">
      <c r="GE819" s="84"/>
      <c r="GF819" s="84"/>
      <c r="GG819" s="84"/>
      <c r="GH819" s="84"/>
    </row>
    <row r="820" spans="187:190" s="2" customFormat="1" ht="18" customHeight="1" x14ac:dyDescent="0.2">
      <c r="GE820" s="84"/>
      <c r="GF820" s="84"/>
      <c r="GG820" s="84"/>
      <c r="GH820" s="84"/>
    </row>
    <row r="821" spans="187:190" s="2" customFormat="1" ht="18" customHeight="1" x14ac:dyDescent="0.2">
      <c r="GE821" s="84"/>
      <c r="GF821" s="84"/>
      <c r="GG821" s="84"/>
      <c r="GH821" s="84"/>
    </row>
    <row r="822" spans="187:190" s="2" customFormat="1" ht="18" customHeight="1" x14ac:dyDescent="0.2">
      <c r="GE822" s="84"/>
      <c r="GF822" s="84"/>
      <c r="GG822" s="84"/>
      <c r="GH822" s="84"/>
    </row>
    <row r="823" spans="187:190" s="2" customFormat="1" ht="18" customHeight="1" x14ac:dyDescent="0.2">
      <c r="GE823" s="84"/>
      <c r="GF823" s="84"/>
      <c r="GG823" s="84"/>
      <c r="GH823" s="84"/>
    </row>
    <row r="824" spans="187:190" s="2" customFormat="1" ht="18" customHeight="1" x14ac:dyDescent="0.2">
      <c r="GE824" s="84"/>
      <c r="GF824" s="84"/>
      <c r="GG824" s="84"/>
      <c r="GH824" s="84"/>
    </row>
    <row r="825" spans="187:190" s="2" customFormat="1" ht="18" customHeight="1" x14ac:dyDescent="0.2">
      <c r="GE825" s="84"/>
      <c r="GF825" s="84"/>
      <c r="GG825" s="84"/>
      <c r="GH825" s="84"/>
    </row>
    <row r="826" spans="187:190" s="2" customFormat="1" ht="18" customHeight="1" x14ac:dyDescent="0.2">
      <c r="GE826" s="84"/>
      <c r="GF826" s="84"/>
      <c r="GG826" s="84"/>
      <c r="GH826" s="84"/>
    </row>
    <row r="827" spans="187:190" s="2" customFormat="1" ht="18" customHeight="1" x14ac:dyDescent="0.2">
      <c r="GE827" s="84"/>
      <c r="GF827" s="84"/>
      <c r="GG827" s="84"/>
      <c r="GH827" s="84"/>
    </row>
    <row r="828" spans="187:190" s="2" customFormat="1" ht="18" customHeight="1" x14ac:dyDescent="0.2">
      <c r="GE828" s="84"/>
      <c r="GF828" s="84"/>
      <c r="GG828" s="84"/>
      <c r="GH828" s="84"/>
    </row>
    <row r="829" spans="187:190" s="2" customFormat="1" ht="18" customHeight="1" x14ac:dyDescent="0.2">
      <c r="GE829" s="84"/>
      <c r="GF829" s="84"/>
      <c r="GG829" s="84"/>
      <c r="GH829" s="84"/>
    </row>
    <row r="830" spans="187:190" s="2" customFormat="1" ht="18" customHeight="1" x14ac:dyDescent="0.2">
      <c r="GE830" s="84"/>
      <c r="GF830" s="84"/>
      <c r="GG830" s="84"/>
      <c r="GH830" s="84"/>
    </row>
    <row r="831" spans="187:190" s="2" customFormat="1" ht="18" customHeight="1" x14ac:dyDescent="0.2">
      <c r="GE831" s="84"/>
      <c r="GF831" s="84"/>
      <c r="GG831" s="84"/>
      <c r="GH831" s="84"/>
    </row>
    <row r="832" spans="187:190" s="2" customFormat="1" ht="18" customHeight="1" x14ac:dyDescent="0.2">
      <c r="GE832" s="84"/>
      <c r="GF832" s="84"/>
      <c r="GG832" s="84"/>
      <c r="GH832" s="84"/>
    </row>
    <row r="833" spans="187:190" s="2" customFormat="1" ht="18" customHeight="1" x14ac:dyDescent="0.2">
      <c r="GE833" s="84"/>
      <c r="GF833" s="84"/>
      <c r="GG833" s="84"/>
      <c r="GH833" s="84"/>
    </row>
    <row r="834" spans="187:190" s="2" customFormat="1" ht="18" customHeight="1" x14ac:dyDescent="0.2">
      <c r="GE834" s="84"/>
      <c r="GF834" s="84"/>
      <c r="GG834" s="84"/>
      <c r="GH834" s="84"/>
    </row>
    <row r="835" spans="187:190" s="2" customFormat="1" ht="18" customHeight="1" x14ac:dyDescent="0.2">
      <c r="GE835" s="84"/>
      <c r="GF835" s="84"/>
      <c r="GG835" s="84"/>
      <c r="GH835" s="84"/>
    </row>
    <row r="836" spans="187:190" s="2" customFormat="1" ht="18" customHeight="1" x14ac:dyDescent="0.2">
      <c r="GE836" s="84"/>
      <c r="GF836" s="84"/>
      <c r="GG836" s="84"/>
      <c r="GH836" s="84"/>
    </row>
    <row r="837" spans="187:190" s="2" customFormat="1" ht="18" customHeight="1" x14ac:dyDescent="0.2">
      <c r="GE837" s="84"/>
      <c r="GF837" s="84"/>
      <c r="GG837" s="84"/>
      <c r="GH837" s="84"/>
    </row>
    <row r="838" spans="187:190" s="2" customFormat="1" ht="18" customHeight="1" x14ac:dyDescent="0.2">
      <c r="GE838" s="84"/>
      <c r="GF838" s="84"/>
      <c r="GG838" s="84"/>
      <c r="GH838" s="84"/>
    </row>
    <row r="839" spans="187:190" s="2" customFormat="1" ht="18" customHeight="1" x14ac:dyDescent="0.2">
      <c r="GE839" s="84"/>
      <c r="GF839" s="84"/>
      <c r="GG839" s="84"/>
      <c r="GH839" s="84"/>
    </row>
    <row r="840" spans="187:190" s="2" customFormat="1" ht="18" customHeight="1" x14ac:dyDescent="0.2">
      <c r="GE840" s="84"/>
      <c r="GF840" s="84"/>
      <c r="GG840" s="84"/>
      <c r="GH840" s="84"/>
    </row>
    <row r="841" spans="187:190" s="2" customFormat="1" ht="18" customHeight="1" x14ac:dyDescent="0.2">
      <c r="GE841" s="84"/>
      <c r="GF841" s="84"/>
      <c r="GG841" s="84"/>
      <c r="GH841" s="84"/>
    </row>
    <row r="842" spans="187:190" s="2" customFormat="1" ht="18" customHeight="1" x14ac:dyDescent="0.2">
      <c r="GE842" s="84"/>
      <c r="GF842" s="84"/>
      <c r="GG842" s="84"/>
      <c r="GH842" s="84"/>
    </row>
    <row r="843" spans="187:190" s="2" customFormat="1" ht="18" customHeight="1" x14ac:dyDescent="0.2">
      <c r="GE843" s="84"/>
      <c r="GF843" s="84"/>
      <c r="GG843" s="84"/>
      <c r="GH843" s="84"/>
    </row>
    <row r="844" spans="187:190" s="2" customFormat="1" ht="18" customHeight="1" x14ac:dyDescent="0.2">
      <c r="GE844" s="84"/>
      <c r="GF844" s="84"/>
      <c r="GG844" s="84"/>
      <c r="GH844" s="84"/>
    </row>
    <row r="845" spans="187:190" s="2" customFormat="1" ht="18" customHeight="1" x14ac:dyDescent="0.2">
      <c r="GE845" s="84"/>
      <c r="GF845" s="84"/>
      <c r="GG845" s="84"/>
      <c r="GH845" s="84"/>
    </row>
    <row r="846" spans="187:190" s="2" customFormat="1" ht="18" customHeight="1" x14ac:dyDescent="0.2">
      <c r="GE846" s="84"/>
      <c r="GF846" s="84"/>
      <c r="GG846" s="84"/>
      <c r="GH846" s="84"/>
    </row>
    <row r="847" spans="187:190" s="2" customFormat="1" ht="18" customHeight="1" x14ac:dyDescent="0.2">
      <c r="GE847" s="84"/>
      <c r="GF847" s="84"/>
      <c r="GG847" s="84"/>
      <c r="GH847" s="84"/>
    </row>
    <row r="848" spans="187:190" s="2" customFormat="1" ht="18" customHeight="1" x14ac:dyDescent="0.2">
      <c r="GE848" s="84"/>
      <c r="GF848" s="84"/>
      <c r="GG848" s="84"/>
      <c r="GH848" s="84"/>
    </row>
    <row r="849" spans="187:190" s="2" customFormat="1" ht="18" customHeight="1" x14ac:dyDescent="0.2">
      <c r="GE849" s="84"/>
      <c r="GF849" s="84"/>
      <c r="GG849" s="84"/>
      <c r="GH849" s="84"/>
    </row>
    <row r="850" spans="187:190" s="2" customFormat="1" ht="18" customHeight="1" x14ac:dyDescent="0.2">
      <c r="GE850" s="84"/>
      <c r="GF850" s="84"/>
      <c r="GG850" s="84"/>
      <c r="GH850" s="84"/>
    </row>
    <row r="851" spans="187:190" s="2" customFormat="1" ht="18" customHeight="1" x14ac:dyDescent="0.2">
      <c r="GE851" s="84"/>
      <c r="GF851" s="84"/>
      <c r="GG851" s="84"/>
      <c r="GH851" s="84"/>
    </row>
    <row r="852" spans="187:190" s="2" customFormat="1" ht="18" customHeight="1" x14ac:dyDescent="0.2">
      <c r="GE852" s="84"/>
      <c r="GF852" s="84"/>
      <c r="GG852" s="84"/>
      <c r="GH852" s="84"/>
    </row>
    <row r="853" spans="187:190" s="2" customFormat="1" ht="18" customHeight="1" x14ac:dyDescent="0.2">
      <c r="GE853" s="84"/>
      <c r="GF853" s="84"/>
      <c r="GG853" s="84"/>
      <c r="GH853" s="84"/>
    </row>
    <row r="854" spans="187:190" s="2" customFormat="1" ht="18" customHeight="1" x14ac:dyDescent="0.2">
      <c r="GE854" s="84"/>
      <c r="GF854" s="84"/>
      <c r="GG854" s="84"/>
      <c r="GH854" s="84"/>
    </row>
    <row r="855" spans="187:190" s="2" customFormat="1" ht="18" customHeight="1" x14ac:dyDescent="0.2">
      <c r="GE855" s="84"/>
      <c r="GF855" s="84"/>
      <c r="GG855" s="84"/>
      <c r="GH855" s="84"/>
    </row>
    <row r="856" spans="187:190" s="2" customFormat="1" ht="18" customHeight="1" x14ac:dyDescent="0.2">
      <c r="GE856" s="84"/>
      <c r="GF856" s="84"/>
      <c r="GG856" s="84"/>
      <c r="GH856" s="84"/>
    </row>
    <row r="857" spans="187:190" s="2" customFormat="1" ht="18" customHeight="1" x14ac:dyDescent="0.2">
      <c r="GE857" s="84"/>
      <c r="GF857" s="84"/>
      <c r="GG857" s="84"/>
      <c r="GH857" s="84"/>
    </row>
    <row r="858" spans="187:190" s="2" customFormat="1" ht="18" customHeight="1" x14ac:dyDescent="0.2">
      <c r="GE858" s="84"/>
      <c r="GF858" s="84"/>
      <c r="GG858" s="84"/>
      <c r="GH858" s="84"/>
    </row>
    <row r="859" spans="187:190" s="2" customFormat="1" ht="18" customHeight="1" x14ac:dyDescent="0.2">
      <c r="GE859" s="84"/>
      <c r="GF859" s="84"/>
      <c r="GG859" s="84"/>
      <c r="GH859" s="84"/>
    </row>
    <row r="860" spans="187:190" s="2" customFormat="1" ht="18" customHeight="1" x14ac:dyDescent="0.2">
      <c r="GE860" s="84"/>
      <c r="GF860" s="84"/>
      <c r="GG860" s="84"/>
      <c r="GH860" s="84"/>
    </row>
    <row r="861" spans="187:190" s="2" customFormat="1" ht="18" customHeight="1" x14ac:dyDescent="0.2">
      <c r="GE861" s="84"/>
      <c r="GF861" s="84"/>
      <c r="GG861" s="84"/>
      <c r="GH861" s="84"/>
    </row>
    <row r="862" spans="187:190" s="2" customFormat="1" ht="18" customHeight="1" x14ac:dyDescent="0.2">
      <c r="GE862" s="84"/>
      <c r="GF862" s="84"/>
      <c r="GG862" s="84"/>
      <c r="GH862" s="84"/>
    </row>
    <row r="863" spans="187:190" s="2" customFormat="1" ht="18" customHeight="1" x14ac:dyDescent="0.2">
      <c r="GE863" s="84"/>
      <c r="GF863" s="84"/>
      <c r="GG863" s="84"/>
      <c r="GH863" s="84"/>
    </row>
    <row r="864" spans="187:190" s="2" customFormat="1" ht="18" customHeight="1" x14ac:dyDescent="0.2">
      <c r="GE864" s="84"/>
      <c r="GF864" s="84"/>
      <c r="GG864" s="84"/>
      <c r="GH864" s="84"/>
    </row>
    <row r="865" spans="187:190" s="2" customFormat="1" ht="18" customHeight="1" x14ac:dyDescent="0.2">
      <c r="GE865" s="84"/>
      <c r="GF865" s="84"/>
      <c r="GG865" s="84"/>
      <c r="GH865" s="84"/>
    </row>
    <row r="866" spans="187:190" s="2" customFormat="1" ht="18" customHeight="1" x14ac:dyDescent="0.2">
      <c r="GE866" s="84"/>
      <c r="GF866" s="84"/>
      <c r="GG866" s="84"/>
      <c r="GH866" s="84"/>
    </row>
    <row r="867" spans="187:190" s="2" customFormat="1" ht="18" customHeight="1" x14ac:dyDescent="0.2">
      <c r="GE867" s="84"/>
      <c r="GF867" s="84"/>
      <c r="GG867" s="84"/>
      <c r="GH867" s="84"/>
    </row>
    <row r="868" spans="187:190" s="2" customFormat="1" ht="18" customHeight="1" x14ac:dyDescent="0.2">
      <c r="GE868" s="84"/>
      <c r="GF868" s="84"/>
      <c r="GG868" s="84"/>
      <c r="GH868" s="84"/>
    </row>
    <row r="869" spans="187:190" s="2" customFormat="1" ht="18" customHeight="1" x14ac:dyDescent="0.2">
      <c r="GE869" s="84"/>
      <c r="GF869" s="84"/>
      <c r="GG869" s="84"/>
      <c r="GH869" s="84"/>
    </row>
    <row r="870" spans="187:190" s="2" customFormat="1" ht="18" customHeight="1" x14ac:dyDescent="0.2">
      <c r="GE870" s="84"/>
      <c r="GF870" s="84"/>
      <c r="GG870" s="84"/>
      <c r="GH870" s="84"/>
    </row>
    <row r="871" spans="187:190" s="2" customFormat="1" ht="18" customHeight="1" x14ac:dyDescent="0.2">
      <c r="GE871" s="84"/>
      <c r="GF871" s="84"/>
      <c r="GG871" s="84"/>
      <c r="GH871" s="84"/>
    </row>
    <row r="872" spans="187:190" s="2" customFormat="1" ht="18" customHeight="1" x14ac:dyDescent="0.2">
      <c r="GE872" s="84"/>
      <c r="GF872" s="84"/>
      <c r="GG872" s="84"/>
      <c r="GH872" s="84"/>
    </row>
    <row r="873" spans="187:190" s="2" customFormat="1" ht="18" customHeight="1" x14ac:dyDescent="0.2">
      <c r="GE873" s="84"/>
      <c r="GF873" s="84"/>
      <c r="GG873" s="84"/>
      <c r="GH873" s="84"/>
    </row>
    <row r="874" spans="187:190" s="2" customFormat="1" ht="18" customHeight="1" x14ac:dyDescent="0.2">
      <c r="GE874" s="84"/>
      <c r="GF874" s="84"/>
      <c r="GG874" s="84"/>
      <c r="GH874" s="84"/>
    </row>
    <row r="875" spans="187:190" s="2" customFormat="1" ht="18" customHeight="1" x14ac:dyDescent="0.2">
      <c r="GE875" s="84"/>
      <c r="GF875" s="84"/>
      <c r="GG875" s="84"/>
      <c r="GH875" s="84"/>
    </row>
    <row r="876" spans="187:190" s="2" customFormat="1" ht="18" customHeight="1" x14ac:dyDescent="0.2">
      <c r="GE876" s="84"/>
      <c r="GF876" s="84"/>
      <c r="GG876" s="84"/>
      <c r="GH876" s="84"/>
    </row>
    <row r="877" spans="187:190" s="2" customFormat="1" ht="18" customHeight="1" x14ac:dyDescent="0.2">
      <c r="GE877" s="84"/>
      <c r="GF877" s="84"/>
      <c r="GG877" s="84"/>
      <c r="GH877" s="84"/>
    </row>
    <row r="878" spans="187:190" s="2" customFormat="1" ht="18" customHeight="1" x14ac:dyDescent="0.2">
      <c r="GE878" s="84"/>
      <c r="GF878" s="84"/>
      <c r="GG878" s="84"/>
      <c r="GH878" s="84"/>
    </row>
    <row r="879" spans="187:190" s="2" customFormat="1" ht="18" customHeight="1" x14ac:dyDescent="0.2">
      <c r="GE879" s="84"/>
      <c r="GF879" s="84"/>
      <c r="GG879" s="84"/>
      <c r="GH879" s="84"/>
    </row>
    <row r="880" spans="187:190" s="2" customFormat="1" ht="18" customHeight="1" x14ac:dyDescent="0.2">
      <c r="GE880" s="84"/>
      <c r="GF880" s="84"/>
      <c r="GG880" s="84"/>
      <c r="GH880" s="84"/>
    </row>
    <row r="881" spans="187:190" s="2" customFormat="1" ht="18" customHeight="1" x14ac:dyDescent="0.2">
      <c r="GE881" s="84"/>
      <c r="GF881" s="84"/>
      <c r="GG881" s="84"/>
      <c r="GH881" s="84"/>
    </row>
    <row r="882" spans="187:190" s="2" customFormat="1" ht="18" customHeight="1" x14ac:dyDescent="0.2">
      <c r="GE882" s="84"/>
      <c r="GF882" s="84"/>
      <c r="GG882" s="84"/>
      <c r="GH882" s="84"/>
    </row>
    <row r="883" spans="187:190" s="2" customFormat="1" ht="18" customHeight="1" x14ac:dyDescent="0.2">
      <c r="GE883" s="84"/>
      <c r="GF883" s="84"/>
      <c r="GG883" s="84"/>
      <c r="GH883" s="84"/>
    </row>
    <row r="884" spans="187:190" s="2" customFormat="1" ht="18" customHeight="1" x14ac:dyDescent="0.2">
      <c r="GE884" s="84"/>
      <c r="GF884" s="84"/>
      <c r="GG884" s="84"/>
      <c r="GH884" s="84"/>
    </row>
    <row r="885" spans="187:190" s="2" customFormat="1" ht="18" customHeight="1" x14ac:dyDescent="0.2">
      <c r="GE885" s="84"/>
      <c r="GF885" s="84"/>
      <c r="GG885" s="84"/>
      <c r="GH885" s="84"/>
    </row>
    <row r="886" spans="187:190" s="2" customFormat="1" ht="18" customHeight="1" x14ac:dyDescent="0.2">
      <c r="GE886" s="84"/>
      <c r="GF886" s="84"/>
      <c r="GG886" s="84"/>
      <c r="GH886" s="84"/>
    </row>
    <row r="887" spans="187:190" s="2" customFormat="1" ht="18" customHeight="1" x14ac:dyDescent="0.2">
      <c r="GE887" s="84"/>
      <c r="GF887" s="84"/>
      <c r="GG887" s="84"/>
      <c r="GH887" s="84"/>
    </row>
    <row r="888" spans="187:190" s="2" customFormat="1" ht="18" customHeight="1" x14ac:dyDescent="0.2">
      <c r="GE888" s="84"/>
      <c r="GF888" s="84"/>
      <c r="GG888" s="84"/>
      <c r="GH888" s="84"/>
    </row>
    <row r="889" spans="187:190" s="2" customFormat="1" ht="18" customHeight="1" x14ac:dyDescent="0.2">
      <c r="GE889" s="84"/>
      <c r="GF889" s="84"/>
      <c r="GG889" s="84"/>
      <c r="GH889" s="84"/>
    </row>
    <row r="890" spans="187:190" s="2" customFormat="1" ht="18" customHeight="1" x14ac:dyDescent="0.2">
      <c r="GE890" s="84"/>
      <c r="GF890" s="84"/>
      <c r="GG890" s="84"/>
      <c r="GH890" s="84"/>
    </row>
    <row r="891" spans="187:190" s="2" customFormat="1" ht="18" customHeight="1" x14ac:dyDescent="0.2">
      <c r="GE891" s="84"/>
      <c r="GF891" s="84"/>
      <c r="GG891" s="84"/>
      <c r="GH891" s="84"/>
    </row>
    <row r="892" spans="187:190" s="2" customFormat="1" ht="18" customHeight="1" x14ac:dyDescent="0.2">
      <c r="GE892" s="84"/>
      <c r="GF892" s="84"/>
      <c r="GG892" s="84"/>
      <c r="GH892" s="84"/>
    </row>
    <row r="893" spans="187:190" s="2" customFormat="1" ht="18" customHeight="1" x14ac:dyDescent="0.2">
      <c r="GE893" s="84"/>
      <c r="GF893" s="84"/>
      <c r="GG893" s="84"/>
      <c r="GH893" s="84"/>
    </row>
    <row r="894" spans="187:190" s="2" customFormat="1" ht="18" customHeight="1" x14ac:dyDescent="0.2">
      <c r="GE894" s="84"/>
      <c r="GF894" s="84"/>
      <c r="GG894" s="84"/>
      <c r="GH894" s="84"/>
    </row>
    <row r="895" spans="187:190" s="2" customFormat="1" ht="18" customHeight="1" x14ac:dyDescent="0.2">
      <c r="GE895" s="84"/>
      <c r="GF895" s="84"/>
      <c r="GG895" s="84"/>
      <c r="GH895" s="84"/>
    </row>
    <row r="896" spans="187:190" s="2" customFormat="1" ht="18" customHeight="1" x14ac:dyDescent="0.2">
      <c r="GE896" s="84"/>
      <c r="GF896" s="84"/>
      <c r="GG896" s="84"/>
      <c r="GH896" s="84"/>
    </row>
    <row r="897" spans="187:190" s="2" customFormat="1" ht="18" customHeight="1" x14ac:dyDescent="0.2">
      <c r="GE897" s="84"/>
      <c r="GF897" s="84"/>
      <c r="GG897" s="84"/>
      <c r="GH897" s="84"/>
    </row>
    <row r="898" spans="187:190" s="2" customFormat="1" ht="18" customHeight="1" x14ac:dyDescent="0.2">
      <c r="GE898" s="84"/>
      <c r="GF898" s="84"/>
      <c r="GG898" s="84"/>
      <c r="GH898" s="84"/>
    </row>
    <row r="899" spans="187:190" s="2" customFormat="1" ht="18" customHeight="1" x14ac:dyDescent="0.2">
      <c r="GE899" s="84"/>
      <c r="GF899" s="84"/>
      <c r="GG899" s="84"/>
      <c r="GH899" s="84"/>
    </row>
    <row r="900" spans="187:190" s="2" customFormat="1" ht="18" customHeight="1" x14ac:dyDescent="0.2">
      <c r="GE900" s="84"/>
      <c r="GF900" s="84"/>
      <c r="GG900" s="84"/>
      <c r="GH900" s="84"/>
    </row>
    <row r="901" spans="187:190" s="2" customFormat="1" ht="18" customHeight="1" x14ac:dyDescent="0.2">
      <c r="GE901" s="84"/>
      <c r="GF901" s="84"/>
      <c r="GG901" s="84"/>
      <c r="GH901" s="84"/>
    </row>
    <row r="902" spans="187:190" s="2" customFormat="1" ht="18" customHeight="1" x14ac:dyDescent="0.2">
      <c r="GE902" s="84"/>
      <c r="GF902" s="84"/>
      <c r="GG902" s="84"/>
      <c r="GH902" s="84"/>
    </row>
    <row r="903" spans="187:190" s="2" customFormat="1" ht="18" customHeight="1" x14ac:dyDescent="0.2">
      <c r="GE903" s="84"/>
      <c r="GF903" s="84"/>
      <c r="GG903" s="84"/>
      <c r="GH903" s="84"/>
    </row>
    <row r="904" spans="187:190" s="2" customFormat="1" ht="18" customHeight="1" x14ac:dyDescent="0.2">
      <c r="GE904" s="84"/>
      <c r="GF904" s="84"/>
      <c r="GG904" s="84"/>
      <c r="GH904" s="84"/>
    </row>
    <row r="905" spans="187:190" s="2" customFormat="1" ht="18" customHeight="1" x14ac:dyDescent="0.2">
      <c r="GE905" s="84"/>
      <c r="GF905" s="84"/>
      <c r="GG905" s="84"/>
      <c r="GH905" s="84"/>
    </row>
    <row r="906" spans="187:190" s="2" customFormat="1" ht="18" customHeight="1" x14ac:dyDescent="0.2">
      <c r="GE906" s="84"/>
      <c r="GF906" s="84"/>
      <c r="GG906" s="84"/>
      <c r="GH906" s="84"/>
    </row>
    <row r="907" spans="187:190" s="2" customFormat="1" ht="18" customHeight="1" x14ac:dyDescent="0.2">
      <c r="GE907" s="84"/>
      <c r="GF907" s="84"/>
      <c r="GG907" s="84"/>
      <c r="GH907" s="84"/>
    </row>
    <row r="908" spans="187:190" s="2" customFormat="1" ht="18" customHeight="1" x14ac:dyDescent="0.2">
      <c r="GE908" s="84"/>
      <c r="GF908" s="84"/>
      <c r="GG908" s="84"/>
      <c r="GH908" s="84"/>
    </row>
    <row r="909" spans="187:190" s="2" customFormat="1" ht="18" customHeight="1" x14ac:dyDescent="0.2">
      <c r="GE909" s="84"/>
      <c r="GF909" s="84"/>
      <c r="GG909" s="84"/>
      <c r="GH909" s="84"/>
    </row>
    <row r="910" spans="187:190" s="2" customFormat="1" ht="18" customHeight="1" x14ac:dyDescent="0.2">
      <c r="GE910" s="84"/>
      <c r="GF910" s="84"/>
      <c r="GG910" s="84"/>
      <c r="GH910" s="84"/>
    </row>
    <row r="911" spans="187:190" s="2" customFormat="1" ht="18" customHeight="1" x14ac:dyDescent="0.2">
      <c r="GE911" s="84"/>
      <c r="GF911" s="84"/>
      <c r="GG911" s="84"/>
      <c r="GH911" s="84"/>
    </row>
    <row r="912" spans="187:190" s="2" customFormat="1" ht="18" customHeight="1" x14ac:dyDescent="0.2">
      <c r="GE912" s="84"/>
      <c r="GF912" s="84"/>
      <c r="GG912" s="84"/>
      <c r="GH912" s="84"/>
    </row>
    <row r="913" spans="187:190" s="2" customFormat="1" ht="18" customHeight="1" x14ac:dyDescent="0.2">
      <c r="GE913" s="84"/>
      <c r="GF913" s="84"/>
      <c r="GG913" s="84"/>
      <c r="GH913" s="84"/>
    </row>
    <row r="914" spans="187:190" s="2" customFormat="1" ht="18" customHeight="1" x14ac:dyDescent="0.2">
      <c r="GE914" s="84"/>
      <c r="GF914" s="84"/>
      <c r="GG914" s="84"/>
      <c r="GH914" s="84"/>
    </row>
    <row r="915" spans="187:190" s="2" customFormat="1" ht="18" customHeight="1" x14ac:dyDescent="0.2">
      <c r="GE915" s="84"/>
      <c r="GF915" s="84"/>
      <c r="GG915" s="84"/>
      <c r="GH915" s="84"/>
    </row>
    <row r="916" spans="187:190" s="2" customFormat="1" ht="18" customHeight="1" x14ac:dyDescent="0.2">
      <c r="GE916" s="84"/>
      <c r="GF916" s="84"/>
      <c r="GG916" s="84"/>
      <c r="GH916" s="84"/>
    </row>
    <row r="917" spans="187:190" s="2" customFormat="1" ht="18" customHeight="1" x14ac:dyDescent="0.2">
      <c r="GE917" s="84"/>
      <c r="GF917" s="84"/>
      <c r="GG917" s="84"/>
      <c r="GH917" s="84"/>
    </row>
    <row r="918" spans="187:190" s="2" customFormat="1" ht="18" customHeight="1" x14ac:dyDescent="0.2">
      <c r="GE918" s="84"/>
      <c r="GF918" s="84"/>
      <c r="GG918" s="84"/>
      <c r="GH918" s="84"/>
    </row>
    <row r="919" spans="187:190" s="2" customFormat="1" ht="18" customHeight="1" x14ac:dyDescent="0.2">
      <c r="GE919" s="84"/>
      <c r="GF919" s="84"/>
      <c r="GG919" s="84"/>
      <c r="GH919" s="84"/>
    </row>
    <row r="920" spans="187:190" s="2" customFormat="1" ht="18" customHeight="1" x14ac:dyDescent="0.2">
      <c r="GE920" s="84"/>
      <c r="GF920" s="84"/>
      <c r="GG920" s="84"/>
      <c r="GH920" s="84"/>
    </row>
    <row r="921" spans="187:190" s="2" customFormat="1" ht="18" customHeight="1" x14ac:dyDescent="0.2">
      <c r="GE921" s="84"/>
      <c r="GF921" s="84"/>
      <c r="GG921" s="84"/>
      <c r="GH921" s="84"/>
    </row>
    <row r="922" spans="187:190" s="2" customFormat="1" ht="18" customHeight="1" x14ac:dyDescent="0.2">
      <c r="GE922" s="84"/>
      <c r="GF922" s="84"/>
      <c r="GG922" s="84"/>
      <c r="GH922" s="84"/>
    </row>
    <row r="923" spans="187:190" s="2" customFormat="1" ht="18" customHeight="1" x14ac:dyDescent="0.2">
      <c r="GE923" s="84"/>
      <c r="GF923" s="84"/>
      <c r="GG923" s="84"/>
      <c r="GH923" s="84"/>
    </row>
    <row r="924" spans="187:190" s="2" customFormat="1" ht="18" customHeight="1" x14ac:dyDescent="0.2">
      <c r="GE924" s="84"/>
      <c r="GF924" s="84"/>
      <c r="GG924" s="84"/>
      <c r="GH924" s="84"/>
    </row>
    <row r="925" spans="187:190" s="2" customFormat="1" ht="18" customHeight="1" x14ac:dyDescent="0.2">
      <c r="GE925" s="84"/>
      <c r="GF925" s="84"/>
      <c r="GG925" s="84"/>
      <c r="GH925" s="84"/>
    </row>
    <row r="926" spans="187:190" s="2" customFormat="1" ht="18" customHeight="1" x14ac:dyDescent="0.2">
      <c r="GE926" s="84"/>
      <c r="GF926" s="84"/>
      <c r="GG926" s="84"/>
      <c r="GH926" s="84"/>
    </row>
    <row r="927" spans="187:190" s="2" customFormat="1" ht="18" customHeight="1" x14ac:dyDescent="0.2">
      <c r="GE927" s="84"/>
      <c r="GF927" s="84"/>
      <c r="GG927" s="84"/>
      <c r="GH927" s="84"/>
    </row>
    <row r="928" spans="187:190" s="2" customFormat="1" ht="18" customHeight="1" x14ac:dyDescent="0.2">
      <c r="GE928" s="84"/>
      <c r="GF928" s="84"/>
      <c r="GG928" s="84"/>
      <c r="GH928" s="84"/>
    </row>
    <row r="929" spans="187:190" s="2" customFormat="1" ht="18" customHeight="1" x14ac:dyDescent="0.2">
      <c r="GE929" s="84"/>
      <c r="GF929" s="84"/>
      <c r="GG929" s="84"/>
      <c r="GH929" s="84"/>
    </row>
    <row r="930" spans="187:190" s="2" customFormat="1" ht="18" customHeight="1" x14ac:dyDescent="0.2">
      <c r="GE930" s="84"/>
      <c r="GF930" s="84"/>
      <c r="GG930" s="84"/>
      <c r="GH930" s="84"/>
    </row>
    <row r="931" spans="187:190" s="2" customFormat="1" ht="18" customHeight="1" x14ac:dyDescent="0.2">
      <c r="GE931" s="84"/>
      <c r="GF931" s="84"/>
      <c r="GG931" s="84"/>
      <c r="GH931" s="84"/>
    </row>
    <row r="932" spans="187:190" s="2" customFormat="1" ht="18" customHeight="1" x14ac:dyDescent="0.2">
      <c r="GE932" s="84"/>
      <c r="GF932" s="84"/>
      <c r="GG932" s="84"/>
      <c r="GH932" s="84"/>
    </row>
    <row r="933" spans="187:190" s="2" customFormat="1" ht="18" customHeight="1" x14ac:dyDescent="0.2">
      <c r="GE933" s="84"/>
      <c r="GF933" s="84"/>
      <c r="GG933" s="84"/>
      <c r="GH933" s="84"/>
    </row>
    <row r="934" spans="187:190" s="2" customFormat="1" ht="18" customHeight="1" x14ac:dyDescent="0.2">
      <c r="GE934" s="84"/>
      <c r="GF934" s="84"/>
      <c r="GG934" s="84"/>
      <c r="GH934" s="84"/>
    </row>
    <row r="935" spans="187:190" s="2" customFormat="1" ht="18" customHeight="1" x14ac:dyDescent="0.2">
      <c r="GE935" s="84"/>
      <c r="GF935" s="84"/>
      <c r="GG935" s="84"/>
      <c r="GH935" s="84"/>
    </row>
    <row r="936" spans="187:190" s="2" customFormat="1" ht="18" customHeight="1" x14ac:dyDescent="0.2">
      <c r="GE936" s="84"/>
      <c r="GF936" s="84"/>
      <c r="GG936" s="84"/>
      <c r="GH936" s="84"/>
    </row>
    <row r="937" spans="187:190" s="2" customFormat="1" ht="18" customHeight="1" x14ac:dyDescent="0.2">
      <c r="GE937" s="84"/>
      <c r="GF937" s="84"/>
      <c r="GG937" s="84"/>
      <c r="GH937" s="84"/>
    </row>
    <row r="938" spans="187:190" s="2" customFormat="1" ht="18" customHeight="1" x14ac:dyDescent="0.2">
      <c r="GE938" s="84"/>
      <c r="GF938" s="84"/>
      <c r="GG938" s="84"/>
      <c r="GH938" s="84"/>
    </row>
    <row r="939" spans="187:190" s="2" customFormat="1" ht="18" customHeight="1" x14ac:dyDescent="0.2">
      <c r="GE939" s="84"/>
      <c r="GF939" s="84"/>
      <c r="GG939" s="84"/>
      <c r="GH939" s="84"/>
    </row>
    <row r="940" spans="187:190" s="2" customFormat="1" ht="18" customHeight="1" x14ac:dyDescent="0.2">
      <c r="GE940" s="84"/>
      <c r="GF940" s="84"/>
      <c r="GG940" s="84"/>
      <c r="GH940" s="84"/>
    </row>
    <row r="941" spans="187:190" s="2" customFormat="1" ht="18" customHeight="1" x14ac:dyDescent="0.2">
      <c r="GE941" s="84"/>
      <c r="GF941" s="84"/>
      <c r="GG941" s="84"/>
      <c r="GH941" s="84"/>
    </row>
    <row r="942" spans="187:190" s="2" customFormat="1" ht="18" customHeight="1" x14ac:dyDescent="0.2">
      <c r="GE942" s="84"/>
      <c r="GF942" s="84"/>
      <c r="GG942" s="84"/>
      <c r="GH942" s="84"/>
    </row>
    <row r="943" spans="187:190" s="2" customFormat="1" ht="18" customHeight="1" x14ac:dyDescent="0.2">
      <c r="GE943" s="84"/>
      <c r="GF943" s="84"/>
      <c r="GG943" s="84"/>
      <c r="GH943" s="84"/>
    </row>
    <row r="944" spans="187:190" s="2" customFormat="1" ht="18" customHeight="1" x14ac:dyDescent="0.2">
      <c r="GE944" s="84"/>
      <c r="GF944" s="84"/>
      <c r="GG944" s="84"/>
      <c r="GH944" s="84"/>
    </row>
    <row r="945" spans="187:190" s="2" customFormat="1" ht="18" customHeight="1" x14ac:dyDescent="0.2">
      <c r="GE945" s="84"/>
      <c r="GF945" s="84"/>
      <c r="GG945" s="84"/>
      <c r="GH945" s="84"/>
    </row>
    <row r="946" spans="187:190" s="2" customFormat="1" ht="18" customHeight="1" x14ac:dyDescent="0.2">
      <c r="GE946" s="84"/>
      <c r="GF946" s="84"/>
      <c r="GG946" s="84"/>
      <c r="GH946" s="84"/>
    </row>
    <row r="947" spans="187:190" s="2" customFormat="1" ht="18" customHeight="1" x14ac:dyDescent="0.2">
      <c r="GE947" s="84"/>
      <c r="GF947" s="84"/>
      <c r="GG947" s="84"/>
      <c r="GH947" s="84"/>
    </row>
    <row r="948" spans="187:190" s="2" customFormat="1" ht="18" customHeight="1" x14ac:dyDescent="0.2">
      <c r="GE948" s="84"/>
      <c r="GF948" s="84"/>
      <c r="GG948" s="84"/>
      <c r="GH948" s="84"/>
    </row>
    <row r="949" spans="187:190" s="2" customFormat="1" ht="18" customHeight="1" x14ac:dyDescent="0.2">
      <c r="GE949" s="84"/>
      <c r="GF949" s="84"/>
      <c r="GG949" s="84"/>
      <c r="GH949" s="84"/>
    </row>
    <row r="950" spans="187:190" s="2" customFormat="1" ht="18" customHeight="1" x14ac:dyDescent="0.2">
      <c r="GE950" s="84"/>
      <c r="GF950" s="84"/>
      <c r="GG950" s="84"/>
      <c r="GH950" s="84"/>
    </row>
    <row r="951" spans="187:190" s="2" customFormat="1" ht="18" customHeight="1" x14ac:dyDescent="0.2">
      <c r="GE951" s="84"/>
      <c r="GF951" s="84"/>
      <c r="GG951" s="84"/>
      <c r="GH951" s="84"/>
    </row>
    <row r="952" spans="187:190" s="2" customFormat="1" ht="18" customHeight="1" x14ac:dyDescent="0.2">
      <c r="GE952" s="84"/>
      <c r="GF952" s="84"/>
      <c r="GG952" s="84"/>
      <c r="GH952" s="84"/>
    </row>
    <row r="953" spans="187:190" s="2" customFormat="1" ht="18" customHeight="1" x14ac:dyDescent="0.2">
      <c r="GE953" s="84"/>
      <c r="GF953" s="84"/>
      <c r="GG953" s="84"/>
      <c r="GH953" s="84"/>
    </row>
    <row r="954" spans="187:190" s="2" customFormat="1" ht="18" customHeight="1" x14ac:dyDescent="0.2">
      <c r="GE954" s="84"/>
      <c r="GF954" s="84"/>
      <c r="GG954" s="84"/>
      <c r="GH954" s="84"/>
    </row>
    <row r="955" spans="187:190" s="2" customFormat="1" ht="18" customHeight="1" x14ac:dyDescent="0.2">
      <c r="GE955" s="84"/>
      <c r="GF955" s="84"/>
      <c r="GG955" s="84"/>
      <c r="GH955" s="84"/>
    </row>
    <row r="956" spans="187:190" s="2" customFormat="1" ht="18" customHeight="1" x14ac:dyDescent="0.2">
      <c r="GE956" s="84"/>
      <c r="GF956" s="84"/>
      <c r="GG956" s="84"/>
      <c r="GH956" s="84"/>
    </row>
    <row r="957" spans="187:190" s="2" customFormat="1" ht="18" customHeight="1" x14ac:dyDescent="0.2">
      <c r="GE957" s="84"/>
      <c r="GF957" s="84"/>
      <c r="GG957" s="84"/>
      <c r="GH957" s="84"/>
    </row>
    <row r="958" spans="187:190" s="2" customFormat="1" ht="18" customHeight="1" x14ac:dyDescent="0.2">
      <c r="GE958" s="84"/>
      <c r="GF958" s="84"/>
      <c r="GG958" s="84"/>
      <c r="GH958" s="84"/>
    </row>
    <row r="959" spans="187:190" s="2" customFormat="1" ht="18" customHeight="1" x14ac:dyDescent="0.2">
      <c r="GE959" s="84"/>
      <c r="GF959" s="84"/>
      <c r="GG959" s="84"/>
      <c r="GH959" s="84"/>
    </row>
    <row r="960" spans="187:190" s="2" customFormat="1" ht="18" customHeight="1" x14ac:dyDescent="0.2">
      <c r="GE960" s="84"/>
      <c r="GF960" s="84"/>
      <c r="GG960" s="84"/>
      <c r="GH960" s="84"/>
    </row>
    <row r="961" spans="187:190" s="2" customFormat="1" ht="18" customHeight="1" x14ac:dyDescent="0.2">
      <c r="GE961" s="84"/>
      <c r="GF961" s="84"/>
      <c r="GG961" s="84"/>
      <c r="GH961" s="84"/>
    </row>
    <row r="962" spans="187:190" s="2" customFormat="1" ht="18" customHeight="1" x14ac:dyDescent="0.2">
      <c r="GE962" s="84"/>
      <c r="GF962" s="84"/>
      <c r="GG962" s="84"/>
      <c r="GH962" s="84"/>
    </row>
    <row r="963" spans="187:190" s="2" customFormat="1" ht="18" customHeight="1" x14ac:dyDescent="0.2">
      <c r="GE963" s="84"/>
      <c r="GF963" s="84"/>
      <c r="GG963" s="84"/>
      <c r="GH963" s="84"/>
    </row>
    <row r="964" spans="187:190" s="2" customFormat="1" ht="18" customHeight="1" x14ac:dyDescent="0.2">
      <c r="GE964" s="84"/>
      <c r="GF964" s="84"/>
      <c r="GG964" s="84"/>
      <c r="GH964" s="84"/>
    </row>
    <row r="965" spans="187:190" s="2" customFormat="1" ht="18" customHeight="1" x14ac:dyDescent="0.2">
      <c r="GE965" s="84"/>
      <c r="GF965" s="84"/>
      <c r="GG965" s="84"/>
      <c r="GH965" s="84"/>
    </row>
    <row r="966" spans="187:190" s="2" customFormat="1" ht="18" customHeight="1" x14ac:dyDescent="0.2">
      <c r="GE966" s="84"/>
      <c r="GF966" s="84"/>
      <c r="GG966" s="84"/>
      <c r="GH966" s="84"/>
    </row>
    <row r="967" spans="187:190" s="2" customFormat="1" ht="18" customHeight="1" x14ac:dyDescent="0.2">
      <c r="GE967" s="84"/>
      <c r="GF967" s="84"/>
      <c r="GG967" s="84"/>
      <c r="GH967" s="84"/>
    </row>
    <row r="968" spans="187:190" s="2" customFormat="1" ht="18" customHeight="1" x14ac:dyDescent="0.2">
      <c r="GE968" s="84"/>
      <c r="GF968" s="84"/>
      <c r="GG968" s="84"/>
      <c r="GH968" s="84"/>
    </row>
    <row r="969" spans="187:190" s="2" customFormat="1" ht="18" customHeight="1" x14ac:dyDescent="0.2">
      <c r="GE969" s="84"/>
      <c r="GF969" s="84"/>
      <c r="GG969" s="84"/>
      <c r="GH969" s="84"/>
    </row>
    <row r="970" spans="187:190" s="2" customFormat="1" ht="18" customHeight="1" x14ac:dyDescent="0.2">
      <c r="GE970" s="84"/>
      <c r="GF970" s="84"/>
      <c r="GG970" s="84"/>
      <c r="GH970" s="84"/>
    </row>
    <row r="971" spans="187:190" s="2" customFormat="1" ht="18" customHeight="1" x14ac:dyDescent="0.2">
      <c r="GE971" s="84"/>
      <c r="GF971" s="84"/>
      <c r="GG971" s="84"/>
      <c r="GH971" s="84"/>
    </row>
    <row r="972" spans="187:190" s="2" customFormat="1" ht="18" customHeight="1" x14ac:dyDescent="0.2">
      <c r="GE972" s="84"/>
      <c r="GF972" s="84"/>
      <c r="GG972" s="84"/>
      <c r="GH972" s="84"/>
    </row>
    <row r="973" spans="187:190" s="2" customFormat="1" ht="18" customHeight="1" x14ac:dyDescent="0.2">
      <c r="GE973" s="84"/>
      <c r="GF973" s="84"/>
      <c r="GG973" s="84"/>
      <c r="GH973" s="84"/>
    </row>
    <row r="974" spans="187:190" s="2" customFormat="1" ht="18" customHeight="1" x14ac:dyDescent="0.2">
      <c r="GE974" s="84"/>
      <c r="GF974" s="84"/>
      <c r="GG974" s="84"/>
      <c r="GH974" s="84"/>
    </row>
    <row r="975" spans="187:190" s="2" customFormat="1" ht="18" customHeight="1" x14ac:dyDescent="0.2">
      <c r="GE975" s="84"/>
      <c r="GF975" s="84"/>
      <c r="GG975" s="84"/>
      <c r="GH975" s="84"/>
    </row>
    <row r="976" spans="187:190" s="2" customFormat="1" ht="18" customHeight="1" x14ac:dyDescent="0.2">
      <c r="GE976" s="84"/>
      <c r="GF976" s="84"/>
      <c r="GG976" s="84"/>
      <c r="GH976" s="84"/>
    </row>
    <row r="977" spans="187:190" s="2" customFormat="1" ht="18" customHeight="1" x14ac:dyDescent="0.2">
      <c r="GE977" s="84"/>
      <c r="GF977" s="84"/>
      <c r="GG977" s="84"/>
      <c r="GH977" s="84"/>
    </row>
    <row r="978" spans="187:190" s="2" customFormat="1" ht="18" customHeight="1" x14ac:dyDescent="0.2">
      <c r="GE978" s="84"/>
      <c r="GF978" s="84"/>
      <c r="GG978" s="84"/>
      <c r="GH978" s="84"/>
    </row>
    <row r="979" spans="187:190" s="2" customFormat="1" ht="18" customHeight="1" x14ac:dyDescent="0.2">
      <c r="GE979" s="84"/>
      <c r="GF979" s="84"/>
      <c r="GG979" s="84"/>
      <c r="GH979" s="84"/>
    </row>
    <row r="980" spans="187:190" s="2" customFormat="1" ht="18" customHeight="1" x14ac:dyDescent="0.2">
      <c r="GE980" s="84"/>
      <c r="GF980" s="84"/>
      <c r="GG980" s="84"/>
      <c r="GH980" s="84"/>
    </row>
    <row r="981" spans="187:190" s="2" customFormat="1" ht="18" customHeight="1" x14ac:dyDescent="0.2">
      <c r="GE981" s="84"/>
      <c r="GF981" s="84"/>
      <c r="GG981" s="84"/>
      <c r="GH981" s="84"/>
    </row>
    <row r="982" spans="187:190" s="2" customFormat="1" ht="18" customHeight="1" x14ac:dyDescent="0.2">
      <c r="GE982" s="84"/>
      <c r="GF982" s="84"/>
      <c r="GG982" s="84"/>
      <c r="GH982" s="84"/>
    </row>
    <row r="983" spans="187:190" s="2" customFormat="1" ht="18" customHeight="1" x14ac:dyDescent="0.2">
      <c r="GE983" s="84"/>
      <c r="GF983" s="84"/>
      <c r="GG983" s="84"/>
      <c r="GH983" s="84"/>
    </row>
    <row r="984" spans="187:190" s="2" customFormat="1" ht="18" customHeight="1" x14ac:dyDescent="0.2">
      <c r="GE984" s="84"/>
      <c r="GF984" s="84"/>
      <c r="GG984" s="84"/>
      <c r="GH984" s="84"/>
    </row>
    <row r="985" spans="187:190" s="2" customFormat="1" ht="18" customHeight="1" x14ac:dyDescent="0.2">
      <c r="GE985" s="84"/>
      <c r="GF985" s="84"/>
      <c r="GG985" s="84"/>
      <c r="GH985" s="84"/>
    </row>
    <row r="986" spans="187:190" s="2" customFormat="1" ht="18" customHeight="1" x14ac:dyDescent="0.2">
      <c r="GE986" s="84"/>
      <c r="GF986" s="84"/>
      <c r="GG986" s="84"/>
      <c r="GH986" s="84"/>
    </row>
    <row r="987" spans="187:190" s="2" customFormat="1" ht="18" customHeight="1" x14ac:dyDescent="0.2">
      <c r="GE987" s="84"/>
      <c r="GF987" s="84"/>
      <c r="GG987" s="84"/>
      <c r="GH987" s="84"/>
    </row>
    <row r="988" spans="187:190" s="2" customFormat="1" ht="18" customHeight="1" x14ac:dyDescent="0.2">
      <c r="GE988" s="84"/>
      <c r="GF988" s="84"/>
      <c r="GG988" s="84"/>
      <c r="GH988" s="84"/>
    </row>
    <row r="989" spans="187:190" s="2" customFormat="1" ht="18" customHeight="1" x14ac:dyDescent="0.2">
      <c r="GE989" s="84"/>
      <c r="GF989" s="84"/>
      <c r="GG989" s="84"/>
      <c r="GH989" s="84"/>
    </row>
    <row r="990" spans="187:190" s="2" customFormat="1" ht="18" customHeight="1" x14ac:dyDescent="0.2">
      <c r="GE990" s="84"/>
      <c r="GF990" s="84"/>
      <c r="GG990" s="84"/>
      <c r="GH990" s="84"/>
    </row>
    <row r="991" spans="187:190" s="2" customFormat="1" ht="18" customHeight="1" x14ac:dyDescent="0.2">
      <c r="GE991" s="84"/>
      <c r="GF991" s="84"/>
      <c r="GG991" s="84"/>
      <c r="GH991" s="84"/>
    </row>
    <row r="992" spans="187:190" s="2" customFormat="1" ht="18" customHeight="1" x14ac:dyDescent="0.2">
      <c r="GE992" s="84"/>
      <c r="GF992" s="84"/>
      <c r="GG992" s="84"/>
      <c r="GH992" s="84"/>
    </row>
    <row r="993" spans="187:190" s="2" customFormat="1" ht="18" customHeight="1" x14ac:dyDescent="0.2">
      <c r="GE993" s="84"/>
      <c r="GF993" s="84"/>
      <c r="GG993" s="84"/>
      <c r="GH993" s="84"/>
    </row>
    <row r="994" spans="187:190" s="2" customFormat="1" ht="18" customHeight="1" x14ac:dyDescent="0.2">
      <c r="GE994" s="84"/>
      <c r="GF994" s="84"/>
      <c r="GG994" s="84"/>
      <c r="GH994" s="84"/>
    </row>
    <row r="995" spans="187:190" s="2" customFormat="1" ht="18" customHeight="1" x14ac:dyDescent="0.2">
      <c r="GE995" s="84"/>
      <c r="GF995" s="84"/>
      <c r="GG995" s="84"/>
      <c r="GH995" s="84"/>
    </row>
    <row r="996" spans="187:190" s="2" customFormat="1" ht="18" customHeight="1" x14ac:dyDescent="0.2">
      <c r="GE996" s="84"/>
      <c r="GF996" s="84"/>
      <c r="GG996" s="84"/>
      <c r="GH996" s="84"/>
    </row>
    <row r="997" spans="187:190" s="2" customFormat="1" ht="18" customHeight="1" x14ac:dyDescent="0.2">
      <c r="GE997" s="84"/>
      <c r="GF997" s="84"/>
      <c r="GG997" s="84"/>
      <c r="GH997" s="84"/>
    </row>
    <row r="998" spans="187:190" s="2" customFormat="1" ht="18" customHeight="1" x14ac:dyDescent="0.2">
      <c r="GE998" s="84"/>
      <c r="GF998" s="84"/>
      <c r="GG998" s="84"/>
      <c r="GH998" s="84"/>
    </row>
    <row r="999" spans="187:190" s="2" customFormat="1" ht="18" customHeight="1" x14ac:dyDescent="0.2">
      <c r="GE999" s="84"/>
      <c r="GF999" s="84"/>
      <c r="GG999" s="84"/>
      <c r="GH999" s="84"/>
    </row>
    <row r="1000" spans="187:190" s="2" customFormat="1" ht="18" customHeight="1" x14ac:dyDescent="0.2">
      <c r="GE1000" s="84"/>
      <c r="GF1000" s="84"/>
      <c r="GG1000" s="84"/>
      <c r="GH1000" s="84"/>
    </row>
    <row r="1001" spans="187:190" s="2" customFormat="1" ht="18" customHeight="1" x14ac:dyDescent="0.2">
      <c r="GE1001" s="84"/>
      <c r="GF1001" s="84"/>
      <c r="GG1001" s="84"/>
      <c r="GH1001" s="84"/>
    </row>
    <row r="1002" spans="187:190" s="2" customFormat="1" ht="18" customHeight="1" x14ac:dyDescent="0.2">
      <c r="GE1002" s="84"/>
      <c r="GF1002" s="84"/>
      <c r="GG1002" s="84"/>
      <c r="GH1002" s="84"/>
    </row>
    <row r="1003" spans="187:190" s="2" customFormat="1" ht="18" customHeight="1" x14ac:dyDescent="0.2">
      <c r="GE1003" s="84"/>
      <c r="GF1003" s="84"/>
      <c r="GG1003" s="84"/>
      <c r="GH1003" s="84"/>
    </row>
    <row r="1004" spans="187:190" s="2" customFormat="1" ht="18" customHeight="1" x14ac:dyDescent="0.2">
      <c r="GE1004" s="84"/>
      <c r="GF1004" s="84"/>
      <c r="GG1004" s="84"/>
      <c r="GH1004" s="84"/>
    </row>
    <row r="1005" spans="187:190" s="2" customFormat="1" ht="18" customHeight="1" x14ac:dyDescent="0.2">
      <c r="GE1005" s="84"/>
      <c r="GF1005" s="84"/>
      <c r="GG1005" s="84"/>
      <c r="GH1005" s="84"/>
    </row>
    <row r="1006" spans="187:190" s="2" customFormat="1" ht="18" customHeight="1" x14ac:dyDescent="0.2">
      <c r="GE1006" s="84"/>
      <c r="GF1006" s="84"/>
      <c r="GG1006" s="84"/>
      <c r="GH1006" s="84"/>
    </row>
    <row r="1007" spans="187:190" s="2" customFormat="1" ht="18" customHeight="1" x14ac:dyDescent="0.2">
      <c r="GE1007" s="84"/>
      <c r="GF1007" s="84"/>
      <c r="GG1007" s="84"/>
      <c r="GH1007" s="84"/>
    </row>
    <row r="1008" spans="187:190" s="2" customFormat="1" ht="18" customHeight="1" x14ac:dyDescent="0.2">
      <c r="GE1008" s="84"/>
      <c r="GF1008" s="84"/>
      <c r="GG1008" s="84"/>
      <c r="GH1008" s="84"/>
    </row>
    <row r="1009" spans="187:190" s="2" customFormat="1" ht="18" customHeight="1" x14ac:dyDescent="0.2">
      <c r="GE1009" s="84"/>
      <c r="GF1009" s="84"/>
      <c r="GG1009" s="84"/>
      <c r="GH1009" s="84"/>
    </row>
    <row r="1010" spans="187:190" s="2" customFormat="1" ht="18" customHeight="1" x14ac:dyDescent="0.2">
      <c r="GE1010" s="84"/>
      <c r="GF1010" s="84"/>
      <c r="GG1010" s="84"/>
      <c r="GH1010" s="84"/>
    </row>
    <row r="1011" spans="187:190" s="2" customFormat="1" ht="18" customHeight="1" x14ac:dyDescent="0.2">
      <c r="GE1011" s="84"/>
      <c r="GF1011" s="84"/>
      <c r="GG1011" s="84"/>
      <c r="GH1011" s="84"/>
    </row>
    <row r="1012" spans="187:190" s="2" customFormat="1" ht="18" customHeight="1" x14ac:dyDescent="0.2">
      <c r="GE1012" s="84"/>
      <c r="GF1012" s="84"/>
      <c r="GG1012" s="84"/>
      <c r="GH1012" s="84"/>
    </row>
    <row r="1013" spans="187:190" s="2" customFormat="1" ht="18" customHeight="1" x14ac:dyDescent="0.2">
      <c r="GE1013" s="84"/>
      <c r="GF1013" s="84"/>
      <c r="GG1013" s="84"/>
      <c r="GH1013" s="84"/>
    </row>
    <row r="1014" spans="187:190" s="2" customFormat="1" ht="18" customHeight="1" x14ac:dyDescent="0.2">
      <c r="GE1014" s="84"/>
      <c r="GF1014" s="84"/>
      <c r="GG1014" s="84"/>
      <c r="GH1014" s="84"/>
    </row>
    <row r="1015" spans="187:190" s="2" customFormat="1" ht="18" customHeight="1" x14ac:dyDescent="0.2">
      <c r="GE1015" s="84"/>
      <c r="GF1015" s="84"/>
      <c r="GG1015" s="84"/>
      <c r="GH1015" s="84"/>
    </row>
    <row r="1016" spans="187:190" s="2" customFormat="1" ht="18" customHeight="1" x14ac:dyDescent="0.2">
      <c r="GE1016" s="84"/>
      <c r="GF1016" s="84"/>
      <c r="GG1016" s="84"/>
      <c r="GH1016" s="84"/>
    </row>
    <row r="1017" spans="187:190" s="2" customFormat="1" ht="18" customHeight="1" x14ac:dyDescent="0.2">
      <c r="GE1017" s="84"/>
      <c r="GF1017" s="84"/>
      <c r="GG1017" s="84"/>
      <c r="GH1017" s="84"/>
    </row>
    <row r="1018" spans="187:190" s="2" customFormat="1" ht="18" customHeight="1" x14ac:dyDescent="0.2">
      <c r="GE1018" s="84"/>
      <c r="GF1018" s="84"/>
      <c r="GG1018" s="84"/>
      <c r="GH1018" s="84"/>
    </row>
    <row r="1019" spans="187:190" s="2" customFormat="1" ht="18" customHeight="1" x14ac:dyDescent="0.2">
      <c r="GE1019" s="84"/>
      <c r="GF1019" s="84"/>
      <c r="GG1019" s="84"/>
      <c r="GH1019" s="84"/>
    </row>
    <row r="1020" spans="187:190" s="2" customFormat="1" ht="18" customHeight="1" x14ac:dyDescent="0.2">
      <c r="GE1020" s="84"/>
      <c r="GF1020" s="84"/>
      <c r="GG1020" s="84"/>
      <c r="GH1020" s="84"/>
    </row>
    <row r="1021" spans="187:190" s="2" customFormat="1" ht="18" customHeight="1" x14ac:dyDescent="0.2">
      <c r="GE1021" s="84"/>
      <c r="GF1021" s="84"/>
      <c r="GG1021" s="84"/>
      <c r="GH1021" s="84"/>
    </row>
    <row r="1022" spans="187:190" s="2" customFormat="1" ht="18" customHeight="1" x14ac:dyDescent="0.2">
      <c r="GE1022" s="84"/>
      <c r="GF1022" s="84"/>
      <c r="GG1022" s="84"/>
      <c r="GH1022" s="84"/>
    </row>
    <row r="1023" spans="187:190" s="2" customFormat="1" ht="18" customHeight="1" x14ac:dyDescent="0.2">
      <c r="GE1023" s="84"/>
      <c r="GF1023" s="84"/>
      <c r="GG1023" s="84"/>
      <c r="GH1023" s="84"/>
    </row>
    <row r="1024" spans="187:190" s="2" customFormat="1" ht="18" customHeight="1" x14ac:dyDescent="0.2">
      <c r="GE1024" s="84"/>
      <c r="GF1024" s="84"/>
      <c r="GG1024" s="84"/>
      <c r="GH1024" s="84"/>
    </row>
    <row r="1025" spans="187:190" s="2" customFormat="1" ht="18" customHeight="1" x14ac:dyDescent="0.2">
      <c r="GE1025" s="84"/>
      <c r="GF1025" s="84"/>
      <c r="GG1025" s="84"/>
      <c r="GH1025" s="84"/>
    </row>
    <row r="1026" spans="187:190" s="2" customFormat="1" ht="18" customHeight="1" x14ac:dyDescent="0.2">
      <c r="GE1026" s="84"/>
      <c r="GF1026" s="84"/>
      <c r="GG1026" s="84"/>
      <c r="GH1026" s="84"/>
    </row>
    <row r="1027" spans="187:190" s="2" customFormat="1" ht="18" customHeight="1" x14ac:dyDescent="0.2">
      <c r="GE1027" s="84"/>
      <c r="GF1027" s="84"/>
      <c r="GG1027" s="84"/>
      <c r="GH1027" s="84"/>
    </row>
    <row r="1028" spans="187:190" s="2" customFormat="1" ht="18" customHeight="1" x14ac:dyDescent="0.2">
      <c r="GE1028" s="84"/>
      <c r="GF1028" s="84"/>
      <c r="GG1028" s="84"/>
      <c r="GH1028" s="84"/>
    </row>
    <row r="1029" spans="187:190" s="2" customFormat="1" ht="18" customHeight="1" x14ac:dyDescent="0.2">
      <c r="GE1029" s="84"/>
      <c r="GF1029" s="84"/>
      <c r="GG1029" s="84"/>
      <c r="GH1029" s="84"/>
    </row>
    <row r="1030" spans="187:190" s="2" customFormat="1" ht="18" customHeight="1" x14ac:dyDescent="0.2">
      <c r="GE1030" s="84"/>
      <c r="GF1030" s="84"/>
      <c r="GG1030" s="84"/>
      <c r="GH1030" s="84"/>
    </row>
    <row r="1031" spans="187:190" s="2" customFormat="1" ht="18" customHeight="1" x14ac:dyDescent="0.2">
      <c r="GE1031" s="84"/>
      <c r="GF1031" s="84"/>
      <c r="GG1031" s="84"/>
      <c r="GH1031" s="84"/>
    </row>
    <row r="1032" spans="187:190" s="2" customFormat="1" ht="18" customHeight="1" x14ac:dyDescent="0.2">
      <c r="GE1032" s="84"/>
      <c r="GF1032" s="84"/>
      <c r="GG1032" s="84"/>
      <c r="GH1032" s="84"/>
    </row>
    <row r="1033" spans="187:190" s="2" customFormat="1" ht="18" customHeight="1" x14ac:dyDescent="0.2">
      <c r="GE1033" s="84"/>
      <c r="GF1033" s="84"/>
      <c r="GG1033" s="84"/>
      <c r="GH1033" s="84"/>
    </row>
    <row r="1034" spans="187:190" s="2" customFormat="1" ht="18" customHeight="1" x14ac:dyDescent="0.2">
      <c r="GE1034" s="84"/>
      <c r="GF1034" s="84"/>
      <c r="GG1034" s="84"/>
      <c r="GH1034" s="84"/>
    </row>
    <row r="1035" spans="187:190" s="2" customFormat="1" ht="18" customHeight="1" x14ac:dyDescent="0.2">
      <c r="GE1035" s="84"/>
      <c r="GF1035" s="84"/>
      <c r="GG1035" s="84"/>
      <c r="GH1035" s="84"/>
    </row>
    <row r="1036" spans="187:190" s="2" customFormat="1" ht="18" customHeight="1" x14ac:dyDescent="0.2">
      <c r="GE1036" s="84"/>
      <c r="GF1036" s="84"/>
      <c r="GG1036" s="84"/>
      <c r="GH1036" s="84"/>
    </row>
    <row r="1037" spans="187:190" s="2" customFormat="1" ht="18" customHeight="1" x14ac:dyDescent="0.2">
      <c r="GE1037" s="84"/>
      <c r="GF1037" s="84"/>
      <c r="GG1037" s="84"/>
      <c r="GH1037" s="84"/>
    </row>
    <row r="1038" spans="187:190" s="2" customFormat="1" ht="18" customHeight="1" x14ac:dyDescent="0.2">
      <c r="GE1038" s="84"/>
      <c r="GF1038" s="84"/>
      <c r="GG1038" s="84"/>
      <c r="GH1038" s="84"/>
    </row>
    <row r="1039" spans="187:190" s="2" customFormat="1" ht="18" customHeight="1" x14ac:dyDescent="0.2">
      <c r="GE1039" s="84"/>
      <c r="GF1039" s="84"/>
      <c r="GG1039" s="84"/>
      <c r="GH1039" s="84"/>
    </row>
    <row r="1040" spans="187:190" s="2" customFormat="1" ht="18" customHeight="1" x14ac:dyDescent="0.2">
      <c r="GE1040" s="84"/>
      <c r="GF1040" s="84"/>
      <c r="GG1040" s="84"/>
      <c r="GH1040" s="84"/>
    </row>
    <row r="1041" spans="187:190" s="2" customFormat="1" ht="18" customHeight="1" x14ac:dyDescent="0.2">
      <c r="GE1041" s="84"/>
      <c r="GF1041" s="84"/>
      <c r="GG1041" s="84"/>
      <c r="GH1041" s="84"/>
    </row>
    <row r="1042" spans="187:190" s="2" customFormat="1" ht="18" customHeight="1" x14ac:dyDescent="0.2">
      <c r="GE1042" s="84"/>
      <c r="GF1042" s="84"/>
      <c r="GG1042" s="84"/>
      <c r="GH1042" s="84"/>
    </row>
    <row r="1043" spans="187:190" s="2" customFormat="1" ht="18" customHeight="1" x14ac:dyDescent="0.2">
      <c r="GE1043" s="84"/>
      <c r="GF1043" s="84"/>
      <c r="GG1043" s="84"/>
      <c r="GH1043" s="84"/>
    </row>
    <row r="1044" spans="187:190" s="2" customFormat="1" ht="18" customHeight="1" x14ac:dyDescent="0.2">
      <c r="GE1044" s="84"/>
      <c r="GF1044" s="84"/>
      <c r="GG1044" s="84"/>
      <c r="GH1044" s="84"/>
    </row>
    <row r="1045" spans="187:190" s="2" customFormat="1" ht="18" customHeight="1" x14ac:dyDescent="0.2">
      <c r="GE1045" s="84"/>
      <c r="GF1045" s="84"/>
      <c r="GG1045" s="84"/>
      <c r="GH1045" s="84"/>
    </row>
    <row r="1046" spans="187:190" s="2" customFormat="1" ht="18" customHeight="1" x14ac:dyDescent="0.2">
      <c r="GE1046" s="84"/>
      <c r="GF1046" s="84"/>
      <c r="GG1046" s="84"/>
      <c r="GH1046" s="84"/>
    </row>
    <row r="1047" spans="187:190" s="2" customFormat="1" ht="18" customHeight="1" x14ac:dyDescent="0.2">
      <c r="GE1047" s="84"/>
      <c r="GF1047" s="84"/>
      <c r="GG1047" s="84"/>
      <c r="GH1047" s="84"/>
    </row>
    <row r="1048" spans="187:190" s="2" customFormat="1" ht="18" customHeight="1" x14ac:dyDescent="0.2">
      <c r="GE1048" s="84"/>
      <c r="GF1048" s="84"/>
      <c r="GG1048" s="84"/>
      <c r="GH1048" s="84"/>
    </row>
    <row r="1049" spans="187:190" s="2" customFormat="1" ht="18" customHeight="1" x14ac:dyDescent="0.2">
      <c r="GE1049" s="84"/>
      <c r="GF1049" s="84"/>
      <c r="GG1049" s="84"/>
      <c r="GH1049" s="84"/>
    </row>
    <row r="1050" spans="187:190" s="2" customFormat="1" ht="18" customHeight="1" x14ac:dyDescent="0.2">
      <c r="GE1050" s="84"/>
      <c r="GF1050" s="84"/>
      <c r="GG1050" s="84"/>
      <c r="GH1050" s="84"/>
    </row>
    <row r="1051" spans="187:190" s="2" customFormat="1" ht="18" customHeight="1" x14ac:dyDescent="0.2">
      <c r="GE1051" s="84"/>
      <c r="GF1051" s="84"/>
      <c r="GG1051" s="84"/>
      <c r="GH1051" s="84"/>
    </row>
    <row r="1052" spans="187:190" s="2" customFormat="1" ht="18" customHeight="1" x14ac:dyDescent="0.2">
      <c r="GE1052" s="84"/>
      <c r="GF1052" s="84"/>
      <c r="GG1052" s="84"/>
      <c r="GH1052" s="84"/>
    </row>
    <row r="1053" spans="187:190" s="2" customFormat="1" ht="18" customHeight="1" x14ac:dyDescent="0.2">
      <c r="GE1053" s="84"/>
      <c r="GF1053" s="84"/>
      <c r="GG1053" s="84"/>
      <c r="GH1053" s="84"/>
    </row>
    <row r="1054" spans="187:190" s="2" customFormat="1" ht="18" customHeight="1" x14ac:dyDescent="0.2">
      <c r="GE1054" s="84"/>
      <c r="GF1054" s="84"/>
      <c r="GG1054" s="84"/>
      <c r="GH1054" s="84"/>
    </row>
    <row r="1055" spans="187:190" s="2" customFormat="1" ht="18" customHeight="1" x14ac:dyDescent="0.2">
      <c r="GE1055" s="84"/>
      <c r="GF1055" s="84"/>
      <c r="GG1055" s="84"/>
      <c r="GH1055" s="84"/>
    </row>
    <row r="1056" spans="187:190" s="2" customFormat="1" ht="18" customHeight="1" x14ac:dyDescent="0.2">
      <c r="GE1056" s="84"/>
      <c r="GF1056" s="84"/>
      <c r="GG1056" s="84"/>
      <c r="GH1056" s="84"/>
    </row>
    <row r="1057" spans="187:190" s="2" customFormat="1" ht="18" customHeight="1" x14ac:dyDescent="0.2">
      <c r="GE1057" s="84"/>
      <c r="GF1057" s="84"/>
      <c r="GG1057" s="84"/>
      <c r="GH1057" s="84"/>
    </row>
    <row r="1058" spans="187:190" s="2" customFormat="1" ht="18" customHeight="1" x14ac:dyDescent="0.2">
      <c r="GE1058" s="84"/>
      <c r="GF1058" s="84"/>
      <c r="GG1058" s="84"/>
      <c r="GH1058" s="84"/>
    </row>
    <row r="1059" spans="187:190" s="2" customFormat="1" ht="18" customHeight="1" x14ac:dyDescent="0.2">
      <c r="GE1059" s="84"/>
      <c r="GF1059" s="84"/>
      <c r="GG1059" s="84"/>
      <c r="GH1059" s="84"/>
    </row>
    <row r="1060" spans="187:190" s="2" customFormat="1" ht="18" customHeight="1" x14ac:dyDescent="0.2">
      <c r="GE1060" s="84"/>
      <c r="GF1060" s="84"/>
      <c r="GG1060" s="84"/>
      <c r="GH1060" s="84"/>
    </row>
    <row r="1061" spans="187:190" s="2" customFormat="1" ht="18" customHeight="1" x14ac:dyDescent="0.2">
      <c r="GE1061" s="84"/>
      <c r="GF1061" s="84"/>
      <c r="GG1061" s="84"/>
      <c r="GH1061" s="84"/>
    </row>
    <row r="1062" spans="187:190" s="2" customFormat="1" ht="18" customHeight="1" x14ac:dyDescent="0.2">
      <c r="GE1062" s="84"/>
      <c r="GF1062" s="84"/>
      <c r="GG1062" s="84"/>
      <c r="GH1062" s="84"/>
    </row>
    <row r="1063" spans="187:190" s="2" customFormat="1" ht="18" customHeight="1" x14ac:dyDescent="0.2">
      <c r="GE1063" s="84"/>
      <c r="GF1063" s="84"/>
      <c r="GG1063" s="84"/>
      <c r="GH1063" s="84"/>
    </row>
    <row r="1064" spans="187:190" s="2" customFormat="1" ht="18" customHeight="1" x14ac:dyDescent="0.2">
      <c r="GE1064" s="84"/>
      <c r="GF1064" s="84"/>
      <c r="GG1064" s="84"/>
      <c r="GH1064" s="84"/>
    </row>
    <row r="1065" spans="187:190" s="2" customFormat="1" ht="18" customHeight="1" x14ac:dyDescent="0.2">
      <c r="GE1065" s="84"/>
      <c r="GF1065" s="84"/>
      <c r="GG1065" s="84"/>
      <c r="GH1065" s="84"/>
    </row>
    <row r="1066" spans="187:190" s="2" customFormat="1" ht="18" customHeight="1" x14ac:dyDescent="0.2">
      <c r="GE1066" s="84"/>
      <c r="GF1066" s="84"/>
      <c r="GG1066" s="84"/>
      <c r="GH1066" s="84"/>
    </row>
    <row r="1067" spans="187:190" s="2" customFormat="1" ht="18" customHeight="1" x14ac:dyDescent="0.2">
      <c r="GE1067" s="84"/>
      <c r="GF1067" s="84"/>
      <c r="GG1067" s="84"/>
      <c r="GH1067" s="84"/>
    </row>
    <row r="1068" spans="187:190" s="2" customFormat="1" ht="18" customHeight="1" x14ac:dyDescent="0.2">
      <c r="GE1068" s="84"/>
      <c r="GF1068" s="84"/>
      <c r="GG1068" s="84"/>
      <c r="GH1068" s="84"/>
    </row>
    <row r="1069" spans="187:190" s="2" customFormat="1" ht="18" customHeight="1" x14ac:dyDescent="0.2">
      <c r="GE1069" s="84"/>
      <c r="GF1069" s="84"/>
      <c r="GG1069" s="84"/>
      <c r="GH1069" s="84"/>
    </row>
    <row r="1070" spans="187:190" s="2" customFormat="1" ht="18" customHeight="1" x14ac:dyDescent="0.2">
      <c r="GE1070" s="84"/>
      <c r="GF1070" s="84"/>
      <c r="GG1070" s="84"/>
      <c r="GH1070" s="84"/>
    </row>
    <row r="1071" spans="187:190" s="2" customFormat="1" ht="18" customHeight="1" x14ac:dyDescent="0.2">
      <c r="GE1071" s="84"/>
      <c r="GF1071" s="84"/>
      <c r="GG1071" s="84"/>
      <c r="GH1071" s="84"/>
    </row>
    <row r="1072" spans="187:190" s="2" customFormat="1" ht="18" customHeight="1" x14ac:dyDescent="0.2">
      <c r="GE1072" s="84"/>
      <c r="GF1072" s="84"/>
      <c r="GG1072" s="84"/>
      <c r="GH1072" s="84"/>
    </row>
    <row r="1073" spans="187:190" s="2" customFormat="1" ht="18" customHeight="1" x14ac:dyDescent="0.2">
      <c r="GE1073" s="84"/>
      <c r="GF1073" s="84"/>
      <c r="GG1073" s="84"/>
      <c r="GH1073" s="84"/>
    </row>
    <row r="1074" spans="187:190" s="2" customFormat="1" ht="18" customHeight="1" x14ac:dyDescent="0.2">
      <c r="GE1074" s="84"/>
      <c r="GF1074" s="84"/>
      <c r="GG1074" s="84"/>
      <c r="GH1074" s="84"/>
    </row>
    <row r="1075" spans="187:190" s="2" customFormat="1" ht="18" customHeight="1" x14ac:dyDescent="0.2">
      <c r="GE1075" s="84"/>
      <c r="GF1075" s="84"/>
      <c r="GG1075" s="84"/>
      <c r="GH1075" s="84"/>
    </row>
    <row r="1076" spans="187:190" s="2" customFormat="1" ht="18" customHeight="1" x14ac:dyDescent="0.2">
      <c r="GE1076" s="84"/>
      <c r="GF1076" s="84"/>
      <c r="GG1076" s="84"/>
      <c r="GH1076" s="84"/>
    </row>
    <row r="1077" spans="187:190" s="2" customFormat="1" ht="18" customHeight="1" x14ac:dyDescent="0.2">
      <c r="GE1077" s="84"/>
      <c r="GF1077" s="84"/>
      <c r="GG1077" s="84"/>
      <c r="GH1077" s="84"/>
    </row>
    <row r="1078" spans="187:190" s="2" customFormat="1" ht="18" customHeight="1" x14ac:dyDescent="0.2">
      <c r="GE1078" s="84"/>
      <c r="GF1078" s="84"/>
      <c r="GG1078" s="84"/>
      <c r="GH1078" s="84"/>
    </row>
    <row r="1079" spans="187:190" s="2" customFormat="1" ht="18" customHeight="1" x14ac:dyDescent="0.2">
      <c r="GE1079" s="84"/>
      <c r="GF1079" s="84"/>
      <c r="GG1079" s="84"/>
      <c r="GH1079" s="84"/>
    </row>
    <row r="1080" spans="187:190" s="2" customFormat="1" ht="18" customHeight="1" x14ac:dyDescent="0.2">
      <c r="GE1080" s="84"/>
      <c r="GF1080" s="84"/>
      <c r="GG1080" s="84"/>
      <c r="GH1080" s="84"/>
    </row>
    <row r="1081" spans="187:190" s="2" customFormat="1" ht="18" customHeight="1" x14ac:dyDescent="0.2">
      <c r="GE1081" s="84"/>
      <c r="GF1081" s="84"/>
      <c r="GG1081" s="84"/>
      <c r="GH1081" s="84"/>
    </row>
    <row r="1082" spans="187:190" s="2" customFormat="1" ht="18" customHeight="1" x14ac:dyDescent="0.2">
      <c r="GE1082" s="84"/>
      <c r="GF1082" s="84"/>
      <c r="GG1082" s="84"/>
      <c r="GH1082" s="84"/>
    </row>
    <row r="1083" spans="187:190" s="2" customFormat="1" ht="18" customHeight="1" x14ac:dyDescent="0.2">
      <c r="GE1083" s="84"/>
      <c r="GF1083" s="84"/>
      <c r="GG1083" s="84"/>
      <c r="GH1083" s="84"/>
    </row>
    <row r="1084" spans="187:190" s="2" customFormat="1" ht="18" customHeight="1" x14ac:dyDescent="0.2">
      <c r="GE1084" s="84"/>
      <c r="GF1084" s="84"/>
      <c r="GG1084" s="84"/>
      <c r="GH1084" s="84"/>
    </row>
    <row r="1085" spans="187:190" s="2" customFormat="1" ht="18" customHeight="1" x14ac:dyDescent="0.2">
      <c r="GE1085" s="84"/>
      <c r="GF1085" s="84"/>
      <c r="GG1085" s="84"/>
      <c r="GH1085" s="84"/>
    </row>
    <row r="1086" spans="187:190" s="2" customFormat="1" ht="18" customHeight="1" x14ac:dyDescent="0.2">
      <c r="GE1086" s="84"/>
      <c r="GF1086" s="84"/>
      <c r="GG1086" s="84"/>
      <c r="GH1086" s="84"/>
    </row>
    <row r="1087" spans="187:190" s="2" customFormat="1" ht="18" customHeight="1" x14ac:dyDescent="0.2">
      <c r="GE1087" s="84"/>
      <c r="GF1087" s="84"/>
      <c r="GG1087" s="84"/>
      <c r="GH1087" s="84"/>
    </row>
    <row r="1088" spans="187:190" s="2" customFormat="1" ht="18" customHeight="1" x14ac:dyDescent="0.2">
      <c r="GE1088" s="84"/>
      <c r="GF1088" s="84"/>
      <c r="GG1088" s="84"/>
      <c r="GH1088" s="84"/>
    </row>
    <row r="1089" spans="187:190" s="2" customFormat="1" ht="18" customHeight="1" x14ac:dyDescent="0.2">
      <c r="GE1089" s="84"/>
      <c r="GF1089" s="84"/>
      <c r="GG1089" s="84"/>
      <c r="GH1089" s="84"/>
    </row>
    <row r="1090" spans="187:190" s="2" customFormat="1" ht="18" customHeight="1" x14ac:dyDescent="0.2">
      <c r="GE1090" s="84"/>
      <c r="GF1090" s="84"/>
      <c r="GG1090" s="84"/>
      <c r="GH1090" s="84"/>
    </row>
    <row r="1091" spans="187:190" s="2" customFormat="1" ht="18" customHeight="1" x14ac:dyDescent="0.2">
      <c r="GE1091" s="84"/>
      <c r="GF1091" s="84"/>
      <c r="GG1091" s="84"/>
      <c r="GH1091" s="84"/>
    </row>
    <row r="1092" spans="187:190" s="2" customFormat="1" ht="18" customHeight="1" x14ac:dyDescent="0.2">
      <c r="GE1092" s="84"/>
      <c r="GF1092" s="84"/>
      <c r="GG1092" s="84"/>
      <c r="GH1092" s="84"/>
    </row>
    <row r="1093" spans="187:190" s="2" customFormat="1" ht="18" customHeight="1" x14ac:dyDescent="0.2">
      <c r="GE1093" s="84"/>
      <c r="GF1093" s="84"/>
      <c r="GG1093" s="84"/>
      <c r="GH1093" s="84"/>
    </row>
    <row r="1094" spans="187:190" s="2" customFormat="1" ht="18" customHeight="1" x14ac:dyDescent="0.2">
      <c r="GE1094" s="84"/>
      <c r="GF1094" s="84"/>
      <c r="GG1094" s="84"/>
      <c r="GH1094" s="84"/>
    </row>
    <row r="1095" spans="187:190" s="2" customFormat="1" ht="18" customHeight="1" x14ac:dyDescent="0.2">
      <c r="GE1095" s="84"/>
      <c r="GF1095" s="84"/>
      <c r="GG1095" s="84"/>
      <c r="GH1095" s="84"/>
    </row>
    <row r="1096" spans="187:190" s="2" customFormat="1" ht="18" customHeight="1" x14ac:dyDescent="0.2">
      <c r="GE1096" s="84"/>
      <c r="GF1096" s="84"/>
      <c r="GG1096" s="84"/>
      <c r="GH1096" s="84"/>
    </row>
    <row r="1097" spans="187:190" s="2" customFormat="1" ht="18" customHeight="1" x14ac:dyDescent="0.2">
      <c r="GE1097" s="84"/>
      <c r="GF1097" s="84"/>
      <c r="GG1097" s="84"/>
      <c r="GH1097" s="84"/>
    </row>
    <row r="1098" spans="187:190" s="2" customFormat="1" ht="18" customHeight="1" x14ac:dyDescent="0.2">
      <c r="GE1098" s="84"/>
      <c r="GF1098" s="84"/>
      <c r="GG1098" s="84"/>
      <c r="GH1098" s="84"/>
    </row>
    <row r="1099" spans="187:190" s="2" customFormat="1" ht="18" customHeight="1" x14ac:dyDescent="0.2">
      <c r="GE1099" s="84"/>
      <c r="GF1099" s="84"/>
      <c r="GG1099" s="84"/>
      <c r="GH1099" s="84"/>
    </row>
    <row r="1100" spans="187:190" s="2" customFormat="1" ht="18" customHeight="1" x14ac:dyDescent="0.2">
      <c r="GE1100" s="84"/>
      <c r="GF1100" s="84"/>
      <c r="GG1100" s="84"/>
      <c r="GH1100" s="84"/>
    </row>
    <row r="1101" spans="187:190" s="2" customFormat="1" ht="18" customHeight="1" x14ac:dyDescent="0.2">
      <c r="GE1101" s="84"/>
      <c r="GF1101" s="84"/>
      <c r="GG1101" s="84"/>
      <c r="GH1101" s="84"/>
    </row>
    <row r="1102" spans="187:190" s="2" customFormat="1" ht="18" customHeight="1" x14ac:dyDescent="0.2">
      <c r="GE1102" s="84"/>
      <c r="GF1102" s="84"/>
      <c r="GG1102" s="84"/>
      <c r="GH1102" s="84"/>
    </row>
    <row r="1103" spans="187:190" s="2" customFormat="1" ht="18" customHeight="1" x14ac:dyDescent="0.2">
      <c r="GE1103" s="84"/>
      <c r="GF1103" s="84"/>
      <c r="GG1103" s="84"/>
      <c r="GH1103" s="84"/>
    </row>
    <row r="1104" spans="187:190" s="2" customFormat="1" ht="18" customHeight="1" x14ac:dyDescent="0.2">
      <c r="GE1104" s="84"/>
      <c r="GF1104" s="84"/>
      <c r="GG1104" s="84"/>
      <c r="GH1104" s="84"/>
    </row>
    <row r="1105" spans="187:190" s="2" customFormat="1" ht="18" customHeight="1" x14ac:dyDescent="0.2">
      <c r="GE1105" s="84"/>
      <c r="GF1105" s="84"/>
      <c r="GG1105" s="84"/>
      <c r="GH1105" s="84"/>
    </row>
    <row r="1106" spans="187:190" s="2" customFormat="1" ht="18" customHeight="1" x14ac:dyDescent="0.2">
      <c r="GE1106" s="84"/>
      <c r="GF1106" s="84"/>
      <c r="GG1106" s="84"/>
      <c r="GH1106" s="84"/>
    </row>
    <row r="1107" spans="187:190" s="2" customFormat="1" ht="18" customHeight="1" x14ac:dyDescent="0.2">
      <c r="GE1107" s="84"/>
      <c r="GF1107" s="84"/>
      <c r="GG1107" s="84"/>
      <c r="GH1107" s="84"/>
    </row>
    <row r="1108" spans="187:190" s="2" customFormat="1" ht="18" customHeight="1" x14ac:dyDescent="0.2">
      <c r="GE1108" s="84"/>
      <c r="GF1108" s="84"/>
      <c r="GG1108" s="84"/>
      <c r="GH1108" s="84"/>
    </row>
    <row r="1109" spans="187:190" s="2" customFormat="1" ht="18" customHeight="1" x14ac:dyDescent="0.2">
      <c r="GE1109" s="84"/>
      <c r="GF1109" s="84"/>
      <c r="GG1109" s="84"/>
      <c r="GH1109" s="84"/>
    </row>
    <row r="1110" spans="187:190" s="2" customFormat="1" ht="18" customHeight="1" x14ac:dyDescent="0.2">
      <c r="GE1110" s="84"/>
      <c r="GF1110" s="84"/>
      <c r="GG1110" s="84"/>
      <c r="GH1110" s="84"/>
    </row>
    <row r="1111" spans="187:190" s="2" customFormat="1" ht="18" customHeight="1" x14ac:dyDescent="0.2">
      <c r="GE1111" s="84"/>
      <c r="GF1111" s="84"/>
      <c r="GG1111" s="84"/>
      <c r="GH1111" s="84"/>
    </row>
    <row r="1112" spans="187:190" s="2" customFormat="1" ht="18" customHeight="1" x14ac:dyDescent="0.2">
      <c r="GE1112" s="84"/>
      <c r="GF1112" s="84"/>
      <c r="GG1112" s="84"/>
      <c r="GH1112" s="84"/>
    </row>
    <row r="1113" spans="187:190" s="2" customFormat="1" ht="18" customHeight="1" x14ac:dyDescent="0.2">
      <c r="GE1113" s="84"/>
      <c r="GF1113" s="84"/>
      <c r="GG1113" s="84"/>
      <c r="GH1113" s="84"/>
    </row>
    <row r="1114" spans="187:190" s="2" customFormat="1" ht="18" customHeight="1" x14ac:dyDescent="0.2">
      <c r="GE1114" s="84"/>
      <c r="GF1114" s="84"/>
      <c r="GG1114" s="84"/>
      <c r="GH1114" s="84"/>
    </row>
    <row r="1115" spans="187:190" s="2" customFormat="1" ht="18" customHeight="1" x14ac:dyDescent="0.2">
      <c r="GE1115" s="84"/>
      <c r="GF1115" s="84"/>
      <c r="GG1115" s="84"/>
      <c r="GH1115" s="84"/>
    </row>
    <row r="1116" spans="187:190" s="2" customFormat="1" ht="18" customHeight="1" x14ac:dyDescent="0.2">
      <c r="GE1116" s="84"/>
      <c r="GF1116" s="84"/>
      <c r="GG1116" s="84"/>
      <c r="GH1116" s="84"/>
    </row>
    <row r="1117" spans="187:190" s="2" customFormat="1" ht="18" customHeight="1" x14ac:dyDescent="0.2">
      <c r="GE1117" s="84"/>
      <c r="GF1117" s="84"/>
      <c r="GG1117" s="84"/>
      <c r="GH1117" s="84"/>
    </row>
    <row r="1118" spans="187:190" s="2" customFormat="1" ht="18" customHeight="1" x14ac:dyDescent="0.2">
      <c r="GE1118" s="84"/>
      <c r="GF1118" s="84"/>
      <c r="GG1118" s="84"/>
      <c r="GH1118" s="84"/>
    </row>
    <row r="1119" spans="187:190" s="2" customFormat="1" ht="18" customHeight="1" x14ac:dyDescent="0.2">
      <c r="GE1119" s="84"/>
      <c r="GF1119" s="84"/>
      <c r="GG1119" s="84"/>
      <c r="GH1119" s="84"/>
    </row>
    <row r="1120" spans="187:190" s="2" customFormat="1" ht="18" customHeight="1" x14ac:dyDescent="0.2">
      <c r="GE1120" s="84"/>
      <c r="GF1120" s="84"/>
      <c r="GG1120" s="84"/>
      <c r="GH1120" s="84"/>
    </row>
    <row r="1121" spans="187:190" s="2" customFormat="1" ht="18" customHeight="1" x14ac:dyDescent="0.2">
      <c r="GE1121" s="84"/>
      <c r="GF1121" s="84"/>
      <c r="GG1121" s="84"/>
      <c r="GH1121" s="84"/>
    </row>
    <row r="1122" spans="187:190" s="2" customFormat="1" ht="18" customHeight="1" x14ac:dyDescent="0.2">
      <c r="GE1122" s="84"/>
      <c r="GF1122" s="84"/>
      <c r="GG1122" s="84"/>
      <c r="GH1122" s="84"/>
    </row>
    <row r="1123" spans="187:190" s="2" customFormat="1" ht="18" customHeight="1" x14ac:dyDescent="0.2">
      <c r="GE1123" s="84"/>
      <c r="GF1123" s="84"/>
      <c r="GG1123" s="84"/>
      <c r="GH1123" s="84"/>
    </row>
    <row r="1124" spans="187:190" s="2" customFormat="1" ht="18" customHeight="1" x14ac:dyDescent="0.2">
      <c r="GE1124" s="84"/>
      <c r="GF1124" s="84"/>
      <c r="GG1124" s="84"/>
      <c r="GH1124" s="84"/>
    </row>
    <row r="1125" spans="187:190" s="2" customFormat="1" ht="18" customHeight="1" x14ac:dyDescent="0.2">
      <c r="GE1125" s="84"/>
      <c r="GF1125" s="84"/>
      <c r="GG1125" s="84"/>
      <c r="GH1125" s="84"/>
    </row>
    <row r="1126" spans="187:190" s="2" customFormat="1" ht="18" customHeight="1" x14ac:dyDescent="0.2">
      <c r="GE1126" s="84"/>
      <c r="GF1126" s="84"/>
      <c r="GG1126" s="84"/>
      <c r="GH1126" s="84"/>
    </row>
    <row r="1127" spans="187:190" s="2" customFormat="1" ht="18" customHeight="1" x14ac:dyDescent="0.2">
      <c r="GE1127" s="84"/>
      <c r="GF1127" s="84"/>
      <c r="GG1127" s="84"/>
      <c r="GH1127" s="84"/>
    </row>
    <row r="1128" spans="187:190" s="2" customFormat="1" ht="18" customHeight="1" x14ac:dyDescent="0.2">
      <c r="GE1128" s="84"/>
      <c r="GF1128" s="84"/>
      <c r="GG1128" s="84"/>
      <c r="GH1128" s="84"/>
    </row>
    <row r="1129" spans="187:190" s="2" customFormat="1" ht="18" customHeight="1" x14ac:dyDescent="0.2">
      <c r="GE1129" s="84"/>
      <c r="GF1129" s="84"/>
      <c r="GG1129" s="84"/>
      <c r="GH1129" s="84"/>
    </row>
    <row r="1130" spans="187:190" s="2" customFormat="1" ht="18" customHeight="1" x14ac:dyDescent="0.2">
      <c r="GE1130" s="84"/>
      <c r="GF1130" s="84"/>
      <c r="GG1130" s="84"/>
      <c r="GH1130" s="84"/>
    </row>
    <row r="1131" spans="187:190" s="2" customFormat="1" ht="18" customHeight="1" x14ac:dyDescent="0.2">
      <c r="GE1131" s="84"/>
      <c r="GF1131" s="84"/>
      <c r="GG1131" s="84"/>
      <c r="GH1131" s="84"/>
    </row>
    <row r="1132" spans="187:190" s="2" customFormat="1" ht="18" customHeight="1" x14ac:dyDescent="0.2">
      <c r="GE1132" s="84"/>
      <c r="GF1132" s="84"/>
      <c r="GG1132" s="84"/>
      <c r="GH1132" s="84"/>
    </row>
    <row r="1133" spans="187:190" s="2" customFormat="1" ht="18" customHeight="1" x14ac:dyDescent="0.2">
      <c r="GE1133" s="84"/>
      <c r="GF1133" s="84"/>
      <c r="GG1133" s="84"/>
      <c r="GH1133" s="84"/>
    </row>
    <row r="1134" spans="187:190" s="2" customFormat="1" ht="18" customHeight="1" x14ac:dyDescent="0.2">
      <c r="GE1134" s="84"/>
      <c r="GF1134" s="84"/>
      <c r="GG1134" s="84"/>
      <c r="GH1134" s="84"/>
    </row>
    <row r="1135" spans="187:190" s="2" customFormat="1" ht="18" customHeight="1" x14ac:dyDescent="0.2">
      <c r="GE1135" s="84"/>
      <c r="GF1135" s="84"/>
      <c r="GG1135" s="84"/>
      <c r="GH1135" s="84"/>
    </row>
    <row r="1136" spans="187:190" s="2" customFormat="1" ht="18" customHeight="1" x14ac:dyDescent="0.2">
      <c r="GE1136" s="84"/>
      <c r="GF1136" s="84"/>
      <c r="GG1136" s="84"/>
      <c r="GH1136" s="84"/>
    </row>
    <row r="1137" spans="187:190" s="2" customFormat="1" ht="18" customHeight="1" x14ac:dyDescent="0.2">
      <c r="GE1137" s="84"/>
      <c r="GF1137" s="84"/>
      <c r="GG1137" s="84"/>
      <c r="GH1137" s="84"/>
    </row>
    <row r="1138" spans="187:190" s="2" customFormat="1" ht="18" customHeight="1" x14ac:dyDescent="0.2">
      <c r="GE1138" s="84"/>
      <c r="GF1138" s="84"/>
      <c r="GG1138" s="84"/>
      <c r="GH1138" s="84"/>
    </row>
    <row r="1139" spans="187:190" s="2" customFormat="1" ht="18" customHeight="1" x14ac:dyDescent="0.2">
      <c r="GE1139" s="84"/>
      <c r="GF1139" s="84"/>
      <c r="GG1139" s="84"/>
      <c r="GH1139" s="84"/>
    </row>
    <row r="1140" spans="187:190" s="2" customFormat="1" ht="18" customHeight="1" x14ac:dyDescent="0.2">
      <c r="GE1140" s="84"/>
      <c r="GF1140" s="84"/>
      <c r="GG1140" s="84"/>
      <c r="GH1140" s="84"/>
    </row>
    <row r="1141" spans="187:190" s="2" customFormat="1" ht="18" customHeight="1" x14ac:dyDescent="0.2">
      <c r="GE1141" s="84"/>
      <c r="GF1141" s="84"/>
      <c r="GG1141" s="84"/>
      <c r="GH1141" s="84"/>
    </row>
    <row r="1142" spans="187:190" s="2" customFormat="1" ht="18" customHeight="1" x14ac:dyDescent="0.2">
      <c r="GE1142" s="84"/>
      <c r="GF1142" s="84"/>
      <c r="GG1142" s="84"/>
      <c r="GH1142" s="84"/>
    </row>
    <row r="1143" spans="187:190" s="2" customFormat="1" ht="18" customHeight="1" x14ac:dyDescent="0.2">
      <c r="GE1143" s="84"/>
      <c r="GF1143" s="84"/>
      <c r="GG1143" s="84"/>
      <c r="GH1143" s="84"/>
    </row>
    <row r="1144" spans="187:190" s="2" customFormat="1" ht="18" customHeight="1" x14ac:dyDescent="0.2">
      <c r="GE1144" s="84"/>
      <c r="GF1144" s="84"/>
      <c r="GG1144" s="84"/>
      <c r="GH1144" s="84"/>
    </row>
    <row r="1145" spans="187:190" s="2" customFormat="1" ht="18" customHeight="1" x14ac:dyDescent="0.2">
      <c r="GE1145" s="84"/>
      <c r="GF1145" s="84"/>
      <c r="GG1145" s="84"/>
      <c r="GH1145" s="84"/>
    </row>
    <row r="1146" spans="187:190" s="2" customFormat="1" ht="18" customHeight="1" x14ac:dyDescent="0.2">
      <c r="GE1146" s="84"/>
      <c r="GF1146" s="84"/>
      <c r="GG1146" s="84"/>
      <c r="GH1146" s="84"/>
    </row>
    <row r="1147" spans="187:190" s="2" customFormat="1" ht="18" customHeight="1" x14ac:dyDescent="0.2">
      <c r="GE1147" s="84"/>
      <c r="GF1147" s="84"/>
      <c r="GG1147" s="84"/>
      <c r="GH1147" s="84"/>
    </row>
    <row r="1148" spans="187:190" s="2" customFormat="1" ht="18" customHeight="1" x14ac:dyDescent="0.2">
      <c r="GE1148" s="84"/>
      <c r="GF1148" s="84"/>
      <c r="GG1148" s="84"/>
      <c r="GH1148" s="84"/>
    </row>
    <row r="1149" spans="187:190" s="2" customFormat="1" ht="18" customHeight="1" x14ac:dyDescent="0.2">
      <c r="GE1149" s="84"/>
      <c r="GF1149" s="84"/>
      <c r="GG1149" s="84"/>
      <c r="GH1149" s="84"/>
    </row>
    <row r="1150" spans="187:190" s="2" customFormat="1" ht="18" customHeight="1" x14ac:dyDescent="0.2">
      <c r="GE1150" s="84"/>
      <c r="GF1150" s="84"/>
      <c r="GG1150" s="84"/>
      <c r="GH1150" s="84"/>
    </row>
    <row r="1151" spans="187:190" s="2" customFormat="1" ht="18" customHeight="1" x14ac:dyDescent="0.2">
      <c r="GE1151" s="84"/>
      <c r="GF1151" s="84"/>
      <c r="GG1151" s="84"/>
      <c r="GH1151" s="84"/>
    </row>
    <row r="1152" spans="187:190" s="2" customFormat="1" ht="18" customHeight="1" x14ac:dyDescent="0.2">
      <c r="GE1152" s="84"/>
      <c r="GF1152" s="84"/>
      <c r="GG1152" s="84"/>
      <c r="GH1152" s="84"/>
    </row>
    <row r="1153" spans="187:190" s="2" customFormat="1" ht="18" customHeight="1" x14ac:dyDescent="0.2">
      <c r="GE1153" s="84"/>
      <c r="GF1153" s="84"/>
      <c r="GG1153" s="84"/>
      <c r="GH1153" s="84"/>
    </row>
    <row r="1154" spans="187:190" s="2" customFormat="1" ht="18" customHeight="1" x14ac:dyDescent="0.2">
      <c r="GE1154" s="84"/>
      <c r="GF1154" s="84"/>
      <c r="GG1154" s="84"/>
      <c r="GH1154" s="84"/>
    </row>
    <row r="1155" spans="187:190" s="2" customFormat="1" ht="18" customHeight="1" x14ac:dyDescent="0.2">
      <c r="GE1155" s="84"/>
      <c r="GF1155" s="84"/>
      <c r="GG1155" s="84"/>
      <c r="GH1155" s="84"/>
    </row>
    <row r="1156" spans="187:190" s="2" customFormat="1" ht="18" customHeight="1" x14ac:dyDescent="0.2">
      <c r="GE1156" s="84"/>
      <c r="GF1156" s="84"/>
      <c r="GG1156" s="84"/>
      <c r="GH1156" s="84"/>
    </row>
    <row r="1157" spans="187:190" s="2" customFormat="1" ht="18" customHeight="1" x14ac:dyDescent="0.2">
      <c r="GE1157" s="84"/>
      <c r="GF1157" s="84"/>
      <c r="GG1157" s="84"/>
      <c r="GH1157" s="84"/>
    </row>
    <row r="1158" spans="187:190" s="2" customFormat="1" ht="18" customHeight="1" x14ac:dyDescent="0.2">
      <c r="GE1158" s="84"/>
      <c r="GF1158" s="84"/>
      <c r="GG1158" s="84"/>
      <c r="GH1158" s="84"/>
    </row>
    <row r="1159" spans="187:190" s="2" customFormat="1" ht="18" customHeight="1" x14ac:dyDescent="0.2">
      <c r="GE1159" s="84"/>
      <c r="GF1159" s="84"/>
      <c r="GG1159" s="84"/>
      <c r="GH1159" s="84"/>
    </row>
    <row r="1160" spans="187:190" s="2" customFormat="1" ht="18" customHeight="1" x14ac:dyDescent="0.2">
      <c r="GE1160" s="84"/>
      <c r="GF1160" s="84"/>
      <c r="GG1160" s="84"/>
      <c r="GH1160" s="84"/>
    </row>
    <row r="1161" spans="187:190" s="2" customFormat="1" ht="18" customHeight="1" x14ac:dyDescent="0.2">
      <c r="GE1161" s="84"/>
      <c r="GF1161" s="84"/>
      <c r="GG1161" s="84"/>
      <c r="GH1161" s="84"/>
    </row>
    <row r="1162" spans="187:190" s="2" customFormat="1" ht="18" customHeight="1" x14ac:dyDescent="0.2">
      <c r="GE1162" s="84"/>
      <c r="GF1162" s="84"/>
      <c r="GG1162" s="84"/>
      <c r="GH1162" s="84"/>
    </row>
    <row r="1163" spans="187:190" s="2" customFormat="1" ht="18" customHeight="1" x14ac:dyDescent="0.2">
      <c r="GE1163" s="84"/>
      <c r="GF1163" s="84"/>
      <c r="GG1163" s="84"/>
      <c r="GH1163" s="84"/>
    </row>
    <row r="1164" spans="187:190" s="2" customFormat="1" ht="18" customHeight="1" x14ac:dyDescent="0.2">
      <c r="GE1164" s="84"/>
      <c r="GF1164" s="84"/>
      <c r="GG1164" s="84"/>
      <c r="GH1164" s="84"/>
    </row>
    <row r="1165" spans="187:190" s="2" customFormat="1" ht="18" customHeight="1" x14ac:dyDescent="0.2">
      <c r="GE1165" s="84"/>
      <c r="GF1165" s="84"/>
      <c r="GG1165" s="84"/>
      <c r="GH1165" s="84"/>
    </row>
    <row r="1166" spans="187:190" s="2" customFormat="1" ht="18" customHeight="1" x14ac:dyDescent="0.2">
      <c r="GE1166" s="84"/>
      <c r="GF1166" s="84"/>
      <c r="GG1166" s="84"/>
      <c r="GH1166" s="84"/>
    </row>
    <row r="1167" spans="187:190" s="2" customFormat="1" ht="18" customHeight="1" x14ac:dyDescent="0.2">
      <c r="GE1167" s="84"/>
      <c r="GF1167" s="84"/>
      <c r="GG1167" s="84"/>
      <c r="GH1167" s="84"/>
    </row>
    <row r="1168" spans="187:190" s="2" customFormat="1" ht="18" customHeight="1" x14ac:dyDescent="0.2">
      <c r="GE1168" s="84"/>
      <c r="GF1168" s="84"/>
      <c r="GG1168" s="84"/>
      <c r="GH1168" s="84"/>
    </row>
    <row r="1169" spans="187:190" s="2" customFormat="1" ht="18" customHeight="1" x14ac:dyDescent="0.2">
      <c r="GE1169" s="84"/>
      <c r="GF1169" s="84"/>
      <c r="GG1169" s="84"/>
      <c r="GH1169" s="84"/>
    </row>
    <row r="1170" spans="187:190" s="2" customFormat="1" ht="18" customHeight="1" x14ac:dyDescent="0.2">
      <c r="GE1170" s="84"/>
      <c r="GF1170" s="84"/>
      <c r="GG1170" s="84"/>
      <c r="GH1170" s="84"/>
    </row>
    <row r="1171" spans="187:190" s="2" customFormat="1" ht="18" customHeight="1" x14ac:dyDescent="0.2">
      <c r="GE1171" s="84"/>
      <c r="GF1171" s="84"/>
      <c r="GG1171" s="84"/>
      <c r="GH1171" s="84"/>
    </row>
    <row r="1172" spans="187:190" s="2" customFormat="1" ht="18" customHeight="1" x14ac:dyDescent="0.2">
      <c r="GE1172" s="84"/>
      <c r="GF1172" s="84"/>
      <c r="GG1172" s="84"/>
      <c r="GH1172" s="84"/>
    </row>
    <row r="1173" spans="187:190" s="2" customFormat="1" ht="18" customHeight="1" x14ac:dyDescent="0.2">
      <c r="GE1173" s="84"/>
      <c r="GF1173" s="84"/>
      <c r="GG1173" s="84"/>
      <c r="GH1173" s="84"/>
    </row>
    <row r="1174" spans="187:190" s="2" customFormat="1" ht="18" customHeight="1" x14ac:dyDescent="0.2">
      <c r="GE1174" s="84"/>
      <c r="GF1174" s="84"/>
      <c r="GG1174" s="84"/>
      <c r="GH1174" s="84"/>
    </row>
    <row r="1175" spans="187:190" s="2" customFormat="1" ht="18" customHeight="1" x14ac:dyDescent="0.2">
      <c r="GE1175" s="84"/>
      <c r="GF1175" s="84"/>
      <c r="GG1175" s="84"/>
      <c r="GH1175" s="84"/>
    </row>
    <row r="1176" spans="187:190" s="2" customFormat="1" ht="18" customHeight="1" x14ac:dyDescent="0.2">
      <c r="GE1176" s="84"/>
      <c r="GF1176" s="84"/>
      <c r="GG1176" s="84"/>
      <c r="GH1176" s="84"/>
    </row>
    <row r="1177" spans="187:190" s="2" customFormat="1" ht="18" customHeight="1" x14ac:dyDescent="0.2">
      <c r="GE1177" s="84"/>
      <c r="GF1177" s="84"/>
      <c r="GG1177" s="84"/>
      <c r="GH1177" s="84"/>
    </row>
    <row r="1178" spans="187:190" s="2" customFormat="1" ht="18" customHeight="1" x14ac:dyDescent="0.2">
      <c r="GE1178" s="84"/>
      <c r="GF1178" s="84"/>
      <c r="GG1178" s="84"/>
      <c r="GH1178" s="84"/>
    </row>
    <row r="1179" spans="187:190" s="2" customFormat="1" ht="18" customHeight="1" x14ac:dyDescent="0.2">
      <c r="GE1179" s="84"/>
      <c r="GF1179" s="84"/>
      <c r="GG1179" s="84"/>
      <c r="GH1179" s="84"/>
    </row>
    <row r="1180" spans="187:190" s="2" customFormat="1" ht="18" customHeight="1" x14ac:dyDescent="0.2">
      <c r="GE1180" s="84"/>
      <c r="GF1180" s="84"/>
      <c r="GG1180" s="84"/>
      <c r="GH1180" s="84"/>
    </row>
    <row r="1181" spans="187:190" s="2" customFormat="1" ht="18" customHeight="1" x14ac:dyDescent="0.2">
      <c r="GE1181" s="84"/>
      <c r="GF1181" s="84"/>
      <c r="GG1181" s="84"/>
      <c r="GH1181" s="84"/>
    </row>
    <row r="1182" spans="187:190" s="2" customFormat="1" ht="18" customHeight="1" x14ac:dyDescent="0.2">
      <c r="GE1182" s="84"/>
      <c r="GF1182" s="84"/>
      <c r="GG1182" s="84"/>
      <c r="GH1182" s="84"/>
    </row>
    <row r="1183" spans="187:190" s="2" customFormat="1" ht="18" customHeight="1" x14ac:dyDescent="0.2">
      <c r="GE1183" s="84"/>
      <c r="GF1183" s="84"/>
      <c r="GG1183" s="84"/>
      <c r="GH1183" s="84"/>
    </row>
    <row r="1184" spans="187:190" s="2" customFormat="1" ht="18" customHeight="1" x14ac:dyDescent="0.2">
      <c r="GE1184" s="84"/>
      <c r="GF1184" s="84"/>
      <c r="GG1184" s="84"/>
      <c r="GH1184" s="84"/>
    </row>
    <row r="1185" spans="187:190" s="2" customFormat="1" ht="18" customHeight="1" x14ac:dyDescent="0.2">
      <c r="GE1185" s="84"/>
      <c r="GF1185" s="84"/>
      <c r="GG1185" s="84"/>
      <c r="GH1185" s="84"/>
    </row>
    <row r="1186" spans="187:190" s="2" customFormat="1" ht="18" customHeight="1" x14ac:dyDescent="0.2">
      <c r="GE1186" s="84"/>
      <c r="GF1186" s="84"/>
      <c r="GG1186" s="84"/>
      <c r="GH1186" s="84"/>
    </row>
    <row r="1187" spans="187:190" s="2" customFormat="1" ht="18" customHeight="1" x14ac:dyDescent="0.2">
      <c r="GE1187" s="84"/>
      <c r="GF1187" s="84"/>
      <c r="GG1187" s="84"/>
      <c r="GH1187" s="84"/>
    </row>
    <row r="1188" spans="187:190" s="2" customFormat="1" ht="18" customHeight="1" x14ac:dyDescent="0.2">
      <c r="GE1188" s="84"/>
      <c r="GF1188" s="84"/>
      <c r="GG1188" s="84"/>
      <c r="GH1188" s="84"/>
    </row>
    <row r="1189" spans="187:190" s="2" customFormat="1" ht="18" customHeight="1" x14ac:dyDescent="0.2">
      <c r="GE1189" s="84"/>
      <c r="GF1189" s="84"/>
      <c r="GG1189" s="84"/>
      <c r="GH1189" s="84"/>
    </row>
    <row r="1190" spans="187:190" s="2" customFormat="1" ht="18" customHeight="1" x14ac:dyDescent="0.2">
      <c r="GE1190" s="84"/>
      <c r="GF1190" s="84"/>
      <c r="GG1190" s="84"/>
      <c r="GH1190" s="84"/>
    </row>
    <row r="1191" spans="187:190" s="2" customFormat="1" ht="18" customHeight="1" x14ac:dyDescent="0.2">
      <c r="GE1191" s="84"/>
      <c r="GF1191" s="84"/>
      <c r="GG1191" s="84"/>
      <c r="GH1191" s="84"/>
    </row>
    <row r="1192" spans="187:190" s="2" customFormat="1" ht="18" customHeight="1" x14ac:dyDescent="0.2">
      <c r="GE1192" s="84"/>
      <c r="GF1192" s="84"/>
      <c r="GG1192" s="84"/>
      <c r="GH1192" s="84"/>
    </row>
    <row r="1193" spans="187:190" s="2" customFormat="1" ht="18" customHeight="1" x14ac:dyDescent="0.2">
      <c r="GE1193" s="84"/>
      <c r="GF1193" s="84"/>
      <c r="GG1193" s="84"/>
      <c r="GH1193" s="84"/>
    </row>
    <row r="1194" spans="187:190" s="2" customFormat="1" ht="18" customHeight="1" x14ac:dyDescent="0.2">
      <c r="GE1194" s="84"/>
      <c r="GF1194" s="84"/>
      <c r="GG1194" s="84"/>
      <c r="GH1194" s="84"/>
    </row>
    <row r="1195" spans="187:190" s="2" customFormat="1" ht="18" customHeight="1" x14ac:dyDescent="0.2">
      <c r="GE1195" s="84"/>
      <c r="GF1195" s="84"/>
      <c r="GG1195" s="84"/>
      <c r="GH1195" s="84"/>
    </row>
    <row r="1196" spans="187:190" s="2" customFormat="1" ht="18" customHeight="1" x14ac:dyDescent="0.2">
      <c r="GE1196" s="84"/>
      <c r="GF1196" s="84"/>
      <c r="GG1196" s="84"/>
      <c r="GH1196" s="84"/>
    </row>
    <row r="1197" spans="187:190" s="2" customFormat="1" ht="18" customHeight="1" x14ac:dyDescent="0.2">
      <c r="GE1197" s="84"/>
      <c r="GF1197" s="84"/>
      <c r="GG1197" s="84"/>
      <c r="GH1197" s="84"/>
    </row>
    <row r="1198" spans="187:190" s="2" customFormat="1" ht="18" customHeight="1" x14ac:dyDescent="0.2">
      <c r="GE1198" s="84"/>
      <c r="GF1198" s="84"/>
      <c r="GG1198" s="84"/>
      <c r="GH1198" s="84"/>
    </row>
    <row r="1199" spans="187:190" s="2" customFormat="1" ht="18" customHeight="1" x14ac:dyDescent="0.2">
      <c r="GE1199" s="84"/>
      <c r="GF1199" s="84"/>
      <c r="GG1199" s="84"/>
      <c r="GH1199" s="84"/>
    </row>
    <row r="1200" spans="187:190" s="2" customFormat="1" ht="18" customHeight="1" x14ac:dyDescent="0.2">
      <c r="GE1200" s="84"/>
      <c r="GF1200" s="84"/>
      <c r="GG1200" s="84"/>
      <c r="GH1200" s="84"/>
    </row>
    <row r="1201" spans="187:190" s="2" customFormat="1" ht="18" customHeight="1" x14ac:dyDescent="0.2">
      <c r="GE1201" s="84"/>
      <c r="GF1201" s="84"/>
      <c r="GG1201" s="84"/>
      <c r="GH1201" s="84"/>
    </row>
    <row r="1202" spans="187:190" s="2" customFormat="1" ht="18" customHeight="1" x14ac:dyDescent="0.2">
      <c r="GE1202" s="84"/>
      <c r="GF1202" s="84"/>
      <c r="GG1202" s="84"/>
      <c r="GH1202" s="84"/>
    </row>
    <row r="1203" spans="187:190" s="2" customFormat="1" ht="18" customHeight="1" x14ac:dyDescent="0.2">
      <c r="GE1203" s="84"/>
      <c r="GF1203" s="84"/>
      <c r="GG1203" s="84"/>
      <c r="GH1203" s="84"/>
    </row>
    <row r="1204" spans="187:190" s="2" customFormat="1" ht="18" customHeight="1" x14ac:dyDescent="0.2">
      <c r="GE1204" s="84"/>
      <c r="GF1204" s="84"/>
      <c r="GG1204" s="84"/>
      <c r="GH1204" s="84"/>
    </row>
    <row r="1205" spans="187:190" s="2" customFormat="1" ht="18" customHeight="1" x14ac:dyDescent="0.2">
      <c r="GE1205" s="84"/>
      <c r="GF1205" s="84"/>
      <c r="GG1205" s="84"/>
      <c r="GH1205" s="84"/>
    </row>
    <row r="1206" spans="187:190" s="2" customFormat="1" ht="18" customHeight="1" x14ac:dyDescent="0.2">
      <c r="GE1206" s="84"/>
      <c r="GF1206" s="84"/>
      <c r="GG1206" s="84"/>
      <c r="GH1206" s="84"/>
    </row>
    <row r="1207" spans="187:190" s="2" customFormat="1" ht="18" customHeight="1" x14ac:dyDescent="0.2">
      <c r="GE1207" s="84"/>
      <c r="GF1207" s="84"/>
      <c r="GG1207" s="84"/>
      <c r="GH1207" s="84"/>
    </row>
    <row r="1208" spans="187:190" s="2" customFormat="1" ht="18" customHeight="1" x14ac:dyDescent="0.2">
      <c r="GE1208" s="84"/>
      <c r="GF1208" s="84"/>
      <c r="GG1208" s="84"/>
      <c r="GH1208" s="84"/>
    </row>
    <row r="1209" spans="187:190" s="2" customFormat="1" ht="18" customHeight="1" x14ac:dyDescent="0.2">
      <c r="GE1209" s="84"/>
      <c r="GF1209" s="84"/>
      <c r="GG1209" s="84"/>
      <c r="GH1209" s="84"/>
    </row>
    <row r="1210" spans="187:190" s="2" customFormat="1" ht="18" customHeight="1" x14ac:dyDescent="0.2">
      <c r="GE1210" s="84"/>
      <c r="GF1210" s="84"/>
      <c r="GG1210" s="84"/>
      <c r="GH1210" s="84"/>
    </row>
    <row r="1211" spans="187:190" s="2" customFormat="1" ht="18" customHeight="1" x14ac:dyDescent="0.2">
      <c r="GE1211" s="84"/>
      <c r="GF1211" s="84"/>
      <c r="GG1211" s="84"/>
      <c r="GH1211" s="84"/>
    </row>
    <row r="1212" spans="187:190" s="2" customFormat="1" ht="18" customHeight="1" x14ac:dyDescent="0.2">
      <c r="GE1212" s="84"/>
      <c r="GF1212" s="84"/>
      <c r="GG1212" s="84"/>
      <c r="GH1212" s="84"/>
    </row>
    <row r="1213" spans="187:190" s="2" customFormat="1" ht="18" customHeight="1" x14ac:dyDescent="0.2">
      <c r="GE1213" s="84"/>
      <c r="GF1213" s="84"/>
      <c r="GG1213" s="84"/>
      <c r="GH1213" s="84"/>
    </row>
    <row r="1214" spans="187:190" s="2" customFormat="1" ht="18" customHeight="1" x14ac:dyDescent="0.2">
      <c r="GE1214" s="84"/>
      <c r="GF1214" s="84"/>
      <c r="GG1214" s="84"/>
      <c r="GH1214" s="84"/>
    </row>
    <row r="1215" spans="187:190" s="2" customFormat="1" ht="18" customHeight="1" x14ac:dyDescent="0.2">
      <c r="GE1215" s="84"/>
      <c r="GF1215" s="84"/>
      <c r="GG1215" s="84"/>
      <c r="GH1215" s="84"/>
    </row>
    <row r="1216" spans="187:190" s="2" customFormat="1" ht="18" customHeight="1" x14ac:dyDescent="0.2">
      <c r="GE1216" s="84"/>
      <c r="GF1216" s="84"/>
      <c r="GG1216" s="84"/>
      <c r="GH1216" s="84"/>
    </row>
    <row r="1217" spans="187:190" s="2" customFormat="1" ht="18" customHeight="1" x14ac:dyDescent="0.2">
      <c r="GE1217" s="84"/>
      <c r="GF1217" s="84"/>
      <c r="GG1217" s="84"/>
      <c r="GH1217" s="84"/>
    </row>
    <row r="1218" spans="187:190" s="2" customFormat="1" ht="18" customHeight="1" x14ac:dyDescent="0.2">
      <c r="GE1218" s="84"/>
      <c r="GF1218" s="84"/>
      <c r="GG1218" s="84"/>
      <c r="GH1218" s="84"/>
    </row>
    <row r="1219" spans="187:190" s="2" customFormat="1" ht="18" customHeight="1" x14ac:dyDescent="0.2">
      <c r="GE1219" s="84"/>
      <c r="GF1219" s="84"/>
      <c r="GG1219" s="84"/>
      <c r="GH1219" s="84"/>
    </row>
    <row r="1220" spans="187:190" s="2" customFormat="1" ht="18" customHeight="1" x14ac:dyDescent="0.2">
      <c r="GE1220" s="84"/>
      <c r="GF1220" s="84"/>
      <c r="GG1220" s="84"/>
      <c r="GH1220" s="84"/>
    </row>
    <row r="1221" spans="187:190" s="2" customFormat="1" ht="18" customHeight="1" x14ac:dyDescent="0.2">
      <c r="GE1221" s="84"/>
      <c r="GF1221" s="84"/>
      <c r="GG1221" s="84"/>
      <c r="GH1221" s="84"/>
    </row>
    <row r="1222" spans="187:190" s="2" customFormat="1" ht="18" customHeight="1" x14ac:dyDescent="0.2">
      <c r="GE1222" s="84"/>
      <c r="GF1222" s="84"/>
      <c r="GG1222" s="84"/>
      <c r="GH1222" s="84"/>
    </row>
    <row r="1223" spans="187:190" s="2" customFormat="1" ht="18" customHeight="1" x14ac:dyDescent="0.2">
      <c r="GE1223" s="84"/>
      <c r="GF1223" s="84"/>
      <c r="GG1223" s="84"/>
      <c r="GH1223" s="84"/>
    </row>
    <row r="1224" spans="187:190" s="2" customFormat="1" ht="18" customHeight="1" x14ac:dyDescent="0.2">
      <c r="GE1224" s="84"/>
      <c r="GF1224" s="84"/>
      <c r="GG1224" s="84"/>
      <c r="GH1224" s="84"/>
    </row>
    <row r="1225" spans="187:190" s="2" customFormat="1" ht="18" customHeight="1" x14ac:dyDescent="0.2">
      <c r="GE1225" s="84"/>
      <c r="GF1225" s="84"/>
      <c r="GG1225" s="84"/>
      <c r="GH1225" s="84"/>
    </row>
    <row r="1226" spans="187:190" s="2" customFormat="1" ht="18" customHeight="1" x14ac:dyDescent="0.2">
      <c r="GE1226" s="84"/>
      <c r="GF1226" s="84"/>
      <c r="GG1226" s="84"/>
      <c r="GH1226" s="84"/>
    </row>
    <row r="1227" spans="187:190" s="2" customFormat="1" ht="18" customHeight="1" x14ac:dyDescent="0.2">
      <c r="GE1227" s="84"/>
      <c r="GF1227" s="84"/>
      <c r="GG1227" s="84"/>
      <c r="GH1227" s="84"/>
    </row>
    <row r="1228" spans="187:190" s="2" customFormat="1" ht="18" customHeight="1" x14ac:dyDescent="0.2">
      <c r="GE1228" s="84"/>
      <c r="GF1228" s="84"/>
      <c r="GG1228" s="84"/>
      <c r="GH1228" s="84"/>
    </row>
    <row r="1229" spans="187:190" s="2" customFormat="1" ht="18" customHeight="1" x14ac:dyDescent="0.2">
      <c r="GE1229" s="84"/>
      <c r="GF1229" s="84"/>
      <c r="GG1229" s="84"/>
      <c r="GH1229" s="84"/>
    </row>
    <row r="1230" spans="187:190" s="2" customFormat="1" ht="18" customHeight="1" x14ac:dyDescent="0.2">
      <c r="GE1230" s="84"/>
      <c r="GF1230" s="84"/>
      <c r="GG1230" s="84"/>
      <c r="GH1230" s="84"/>
    </row>
    <row r="1231" spans="187:190" s="2" customFormat="1" ht="18" customHeight="1" x14ac:dyDescent="0.2">
      <c r="GE1231" s="84"/>
      <c r="GF1231" s="84"/>
      <c r="GG1231" s="84"/>
      <c r="GH1231" s="84"/>
    </row>
    <row r="1232" spans="187:190" s="2" customFormat="1" ht="18" customHeight="1" x14ac:dyDescent="0.2">
      <c r="GE1232" s="84"/>
      <c r="GF1232" s="84"/>
      <c r="GG1232" s="84"/>
      <c r="GH1232" s="84"/>
    </row>
    <row r="1233" spans="187:190" s="2" customFormat="1" ht="18" customHeight="1" x14ac:dyDescent="0.2">
      <c r="GE1233" s="84"/>
      <c r="GF1233" s="84"/>
      <c r="GG1233" s="84"/>
      <c r="GH1233" s="84"/>
    </row>
    <row r="1234" spans="187:190" s="2" customFormat="1" ht="18" customHeight="1" x14ac:dyDescent="0.2">
      <c r="GE1234" s="84"/>
      <c r="GF1234" s="84"/>
      <c r="GG1234" s="84"/>
      <c r="GH1234" s="84"/>
    </row>
    <row r="1235" spans="187:190" s="2" customFormat="1" ht="18" customHeight="1" x14ac:dyDescent="0.2">
      <c r="GE1235" s="84"/>
      <c r="GF1235" s="84"/>
      <c r="GG1235" s="84"/>
      <c r="GH1235" s="84"/>
    </row>
    <row r="1236" spans="187:190" s="2" customFormat="1" ht="18" customHeight="1" x14ac:dyDescent="0.2">
      <c r="GE1236" s="84"/>
      <c r="GF1236" s="84"/>
      <c r="GG1236" s="84"/>
      <c r="GH1236" s="84"/>
    </row>
    <row r="1237" spans="187:190" s="2" customFormat="1" ht="18" customHeight="1" x14ac:dyDescent="0.2">
      <c r="GE1237" s="84"/>
      <c r="GF1237" s="84"/>
      <c r="GG1237" s="84"/>
      <c r="GH1237" s="84"/>
    </row>
    <row r="1238" spans="187:190" s="2" customFormat="1" ht="18" customHeight="1" x14ac:dyDescent="0.2">
      <c r="GE1238" s="84"/>
      <c r="GF1238" s="84"/>
      <c r="GG1238" s="84"/>
      <c r="GH1238" s="84"/>
    </row>
    <row r="1239" spans="187:190" s="2" customFormat="1" ht="18" customHeight="1" x14ac:dyDescent="0.2">
      <c r="GE1239" s="84"/>
      <c r="GF1239" s="84"/>
      <c r="GG1239" s="84"/>
      <c r="GH1239" s="84"/>
    </row>
    <row r="1240" spans="187:190" s="2" customFormat="1" ht="18" customHeight="1" x14ac:dyDescent="0.2">
      <c r="GE1240" s="84"/>
      <c r="GF1240" s="84"/>
      <c r="GG1240" s="84"/>
      <c r="GH1240" s="84"/>
    </row>
    <row r="1241" spans="187:190" s="2" customFormat="1" ht="18" customHeight="1" x14ac:dyDescent="0.2">
      <c r="GE1241" s="84"/>
      <c r="GF1241" s="84"/>
      <c r="GG1241" s="84"/>
      <c r="GH1241" s="84"/>
    </row>
    <row r="1242" spans="187:190" s="2" customFormat="1" ht="18" customHeight="1" x14ac:dyDescent="0.2">
      <c r="GE1242" s="84"/>
      <c r="GF1242" s="84"/>
      <c r="GG1242" s="84"/>
      <c r="GH1242" s="84"/>
    </row>
    <row r="1243" spans="187:190" s="2" customFormat="1" ht="18" customHeight="1" x14ac:dyDescent="0.2">
      <c r="GE1243" s="84"/>
      <c r="GF1243" s="84"/>
      <c r="GG1243" s="84"/>
      <c r="GH1243" s="84"/>
    </row>
    <row r="1244" spans="187:190" s="2" customFormat="1" ht="18" customHeight="1" x14ac:dyDescent="0.2">
      <c r="GE1244" s="84"/>
      <c r="GF1244" s="84"/>
      <c r="GG1244" s="84"/>
      <c r="GH1244" s="84"/>
    </row>
    <row r="1245" spans="187:190" s="2" customFormat="1" ht="18" customHeight="1" x14ac:dyDescent="0.2">
      <c r="GE1245" s="84"/>
      <c r="GF1245" s="84"/>
      <c r="GG1245" s="84"/>
      <c r="GH1245" s="84"/>
    </row>
    <row r="1246" spans="187:190" s="2" customFormat="1" ht="18" customHeight="1" x14ac:dyDescent="0.2">
      <c r="GE1246" s="84"/>
      <c r="GF1246" s="84"/>
      <c r="GG1246" s="84"/>
      <c r="GH1246" s="84"/>
    </row>
    <row r="1247" spans="187:190" s="2" customFormat="1" ht="18" customHeight="1" x14ac:dyDescent="0.2">
      <c r="GE1247" s="84"/>
      <c r="GF1247" s="84"/>
      <c r="GG1247" s="84"/>
      <c r="GH1247" s="84"/>
    </row>
    <row r="1248" spans="187:190" s="2" customFormat="1" ht="18" customHeight="1" x14ac:dyDescent="0.2">
      <c r="GE1248" s="84"/>
      <c r="GF1248" s="84"/>
      <c r="GG1248" s="84"/>
      <c r="GH1248" s="84"/>
    </row>
    <row r="1249" spans="187:190" s="2" customFormat="1" ht="18" customHeight="1" x14ac:dyDescent="0.2">
      <c r="GE1249" s="84"/>
      <c r="GF1249" s="84"/>
      <c r="GG1249" s="84"/>
      <c r="GH1249" s="84"/>
    </row>
    <row r="1250" spans="187:190" s="2" customFormat="1" ht="18" customHeight="1" x14ac:dyDescent="0.2">
      <c r="GE1250" s="84"/>
      <c r="GF1250" s="84"/>
      <c r="GG1250" s="84"/>
      <c r="GH1250" s="84"/>
    </row>
    <row r="1251" spans="187:190" s="2" customFormat="1" ht="18" customHeight="1" x14ac:dyDescent="0.2">
      <c r="GE1251" s="84"/>
      <c r="GF1251" s="84"/>
      <c r="GG1251" s="84"/>
      <c r="GH1251" s="84"/>
    </row>
    <row r="1252" spans="187:190" s="2" customFormat="1" ht="18" customHeight="1" x14ac:dyDescent="0.2">
      <c r="GE1252" s="84"/>
      <c r="GF1252" s="84"/>
      <c r="GG1252" s="84"/>
      <c r="GH1252" s="84"/>
    </row>
    <row r="1253" spans="187:190" s="2" customFormat="1" ht="18" customHeight="1" x14ac:dyDescent="0.2">
      <c r="GE1253" s="84"/>
      <c r="GF1253" s="84"/>
      <c r="GG1253" s="84"/>
      <c r="GH1253" s="84"/>
    </row>
    <row r="1254" spans="187:190" s="2" customFormat="1" ht="18" customHeight="1" x14ac:dyDescent="0.2">
      <c r="GE1254" s="84"/>
      <c r="GF1254" s="84"/>
      <c r="GG1254" s="84"/>
      <c r="GH1254" s="84"/>
    </row>
    <row r="1255" spans="187:190" s="2" customFormat="1" ht="18" customHeight="1" x14ac:dyDescent="0.2">
      <c r="GE1255" s="84"/>
      <c r="GF1255" s="84"/>
      <c r="GG1255" s="84"/>
      <c r="GH1255" s="84"/>
    </row>
    <row r="1256" spans="187:190" s="2" customFormat="1" ht="18" customHeight="1" x14ac:dyDescent="0.2">
      <c r="GE1256" s="84"/>
      <c r="GF1256" s="84"/>
      <c r="GG1256" s="84"/>
      <c r="GH1256" s="84"/>
    </row>
    <row r="1257" spans="187:190" s="2" customFormat="1" ht="18" customHeight="1" x14ac:dyDescent="0.2">
      <c r="GE1257" s="84"/>
      <c r="GF1257" s="84"/>
      <c r="GG1257" s="84"/>
      <c r="GH1257" s="84"/>
    </row>
    <row r="1258" spans="187:190" s="2" customFormat="1" ht="18" customHeight="1" x14ac:dyDescent="0.2">
      <c r="GE1258" s="84"/>
      <c r="GF1258" s="84"/>
      <c r="GG1258" s="84"/>
      <c r="GH1258" s="84"/>
    </row>
    <row r="1259" spans="187:190" s="2" customFormat="1" ht="18" customHeight="1" x14ac:dyDescent="0.2">
      <c r="GE1259" s="84"/>
      <c r="GF1259" s="84"/>
      <c r="GG1259" s="84"/>
      <c r="GH1259" s="84"/>
    </row>
    <row r="1260" spans="187:190" s="2" customFormat="1" ht="18" customHeight="1" x14ac:dyDescent="0.2">
      <c r="GE1260" s="84"/>
      <c r="GF1260" s="84"/>
      <c r="GG1260" s="84"/>
      <c r="GH1260" s="84"/>
    </row>
    <row r="1261" spans="187:190" s="2" customFormat="1" ht="18" customHeight="1" x14ac:dyDescent="0.2">
      <c r="GE1261" s="84"/>
      <c r="GF1261" s="84"/>
      <c r="GG1261" s="84"/>
      <c r="GH1261" s="84"/>
    </row>
    <row r="1262" spans="187:190" s="2" customFormat="1" ht="18" customHeight="1" x14ac:dyDescent="0.2">
      <c r="GE1262" s="84"/>
      <c r="GF1262" s="84"/>
      <c r="GG1262" s="84"/>
      <c r="GH1262" s="84"/>
    </row>
    <row r="1263" spans="187:190" s="2" customFormat="1" ht="18" customHeight="1" x14ac:dyDescent="0.2">
      <c r="GE1263" s="84"/>
      <c r="GF1263" s="84"/>
      <c r="GG1263" s="84"/>
      <c r="GH1263" s="84"/>
    </row>
    <row r="1264" spans="187:190" s="2" customFormat="1" ht="18" customHeight="1" x14ac:dyDescent="0.2">
      <c r="GE1264" s="84"/>
      <c r="GF1264" s="84"/>
      <c r="GG1264" s="84"/>
      <c r="GH1264" s="84"/>
    </row>
    <row r="1265" spans="187:190" s="2" customFormat="1" ht="18" customHeight="1" x14ac:dyDescent="0.2">
      <c r="GE1265" s="84"/>
      <c r="GF1265" s="84"/>
      <c r="GG1265" s="84"/>
      <c r="GH1265" s="84"/>
    </row>
    <row r="1266" spans="187:190" s="2" customFormat="1" ht="18" customHeight="1" x14ac:dyDescent="0.2">
      <c r="GE1266" s="84"/>
      <c r="GF1266" s="84"/>
      <c r="GG1266" s="84"/>
      <c r="GH1266" s="84"/>
    </row>
    <row r="1267" spans="187:190" s="2" customFormat="1" ht="18" customHeight="1" x14ac:dyDescent="0.2">
      <c r="GE1267" s="84"/>
      <c r="GF1267" s="84"/>
      <c r="GG1267" s="84"/>
      <c r="GH1267" s="84"/>
    </row>
    <row r="1268" spans="187:190" s="2" customFormat="1" ht="18" customHeight="1" x14ac:dyDescent="0.2">
      <c r="GE1268" s="84"/>
      <c r="GF1268" s="84"/>
      <c r="GG1268" s="84"/>
      <c r="GH1268" s="84"/>
    </row>
    <row r="1269" spans="187:190" s="2" customFormat="1" ht="18" customHeight="1" x14ac:dyDescent="0.2">
      <c r="GE1269" s="84"/>
      <c r="GF1269" s="84"/>
      <c r="GG1269" s="84"/>
      <c r="GH1269" s="84"/>
    </row>
    <row r="1270" spans="187:190" s="2" customFormat="1" ht="18" customHeight="1" x14ac:dyDescent="0.2">
      <c r="GE1270" s="84"/>
      <c r="GF1270" s="84"/>
      <c r="GG1270" s="84"/>
      <c r="GH1270" s="84"/>
    </row>
    <row r="1271" spans="187:190" s="2" customFormat="1" ht="18" customHeight="1" x14ac:dyDescent="0.2">
      <c r="GE1271" s="84"/>
      <c r="GF1271" s="84"/>
      <c r="GG1271" s="84"/>
      <c r="GH1271" s="84"/>
    </row>
    <row r="1272" spans="187:190" s="2" customFormat="1" ht="18" customHeight="1" x14ac:dyDescent="0.2">
      <c r="GE1272" s="84"/>
      <c r="GF1272" s="84"/>
      <c r="GG1272" s="84"/>
      <c r="GH1272" s="84"/>
    </row>
    <row r="1273" spans="187:190" s="2" customFormat="1" ht="18" customHeight="1" x14ac:dyDescent="0.2">
      <c r="GE1273" s="84"/>
      <c r="GF1273" s="84"/>
      <c r="GG1273" s="84"/>
      <c r="GH1273" s="84"/>
    </row>
    <row r="1274" spans="187:190" s="2" customFormat="1" ht="18" customHeight="1" x14ac:dyDescent="0.2">
      <c r="GE1274" s="84"/>
      <c r="GF1274" s="84"/>
      <c r="GG1274" s="84"/>
      <c r="GH1274" s="84"/>
    </row>
    <row r="1275" spans="187:190" s="2" customFormat="1" ht="18" customHeight="1" x14ac:dyDescent="0.2">
      <c r="GE1275" s="84"/>
      <c r="GF1275" s="84"/>
      <c r="GG1275" s="84"/>
      <c r="GH1275" s="84"/>
    </row>
    <row r="1276" spans="187:190" s="2" customFormat="1" ht="18" customHeight="1" x14ac:dyDescent="0.2">
      <c r="GE1276" s="84"/>
      <c r="GF1276" s="84"/>
      <c r="GG1276" s="84"/>
      <c r="GH1276" s="84"/>
    </row>
    <row r="1277" spans="187:190" s="2" customFormat="1" ht="18" customHeight="1" x14ac:dyDescent="0.2">
      <c r="GE1277" s="84"/>
      <c r="GF1277" s="84"/>
      <c r="GG1277" s="84"/>
      <c r="GH1277" s="84"/>
    </row>
    <row r="1278" spans="187:190" s="2" customFormat="1" ht="18" customHeight="1" x14ac:dyDescent="0.2">
      <c r="GE1278" s="84"/>
      <c r="GF1278" s="84"/>
      <c r="GG1278" s="84"/>
      <c r="GH1278" s="84"/>
    </row>
    <row r="1279" spans="187:190" s="2" customFormat="1" ht="18" customHeight="1" x14ac:dyDescent="0.2">
      <c r="GE1279" s="84"/>
      <c r="GF1279" s="84"/>
      <c r="GG1279" s="84"/>
      <c r="GH1279" s="84"/>
    </row>
    <row r="1280" spans="187:190" s="2" customFormat="1" ht="18" customHeight="1" x14ac:dyDescent="0.2">
      <c r="GE1280" s="84"/>
      <c r="GF1280" s="84"/>
      <c r="GG1280" s="84"/>
      <c r="GH1280" s="84"/>
    </row>
    <row r="1281" spans="187:190" s="2" customFormat="1" ht="18" customHeight="1" x14ac:dyDescent="0.2">
      <c r="GE1281" s="84"/>
      <c r="GF1281" s="84"/>
      <c r="GG1281" s="84"/>
      <c r="GH1281" s="84"/>
    </row>
    <row r="1282" spans="187:190" s="2" customFormat="1" ht="18" customHeight="1" x14ac:dyDescent="0.2">
      <c r="GE1282" s="84"/>
      <c r="GF1282" s="84"/>
      <c r="GG1282" s="84"/>
      <c r="GH1282" s="84"/>
    </row>
    <row r="1283" spans="187:190" s="2" customFormat="1" ht="18" customHeight="1" x14ac:dyDescent="0.2">
      <c r="GE1283" s="84"/>
      <c r="GF1283" s="84"/>
      <c r="GG1283" s="84"/>
      <c r="GH1283" s="84"/>
    </row>
    <row r="1284" spans="187:190" s="2" customFormat="1" ht="18" customHeight="1" x14ac:dyDescent="0.2">
      <c r="GE1284" s="84"/>
      <c r="GF1284" s="84"/>
      <c r="GG1284" s="84"/>
      <c r="GH1284" s="84"/>
    </row>
    <row r="1285" spans="187:190" s="2" customFormat="1" ht="18" customHeight="1" x14ac:dyDescent="0.2">
      <c r="GE1285" s="84"/>
      <c r="GF1285" s="84"/>
      <c r="GG1285" s="84"/>
      <c r="GH1285" s="84"/>
    </row>
    <row r="1286" spans="187:190" s="2" customFormat="1" ht="18" customHeight="1" x14ac:dyDescent="0.2">
      <c r="GE1286" s="84"/>
      <c r="GF1286" s="84"/>
      <c r="GG1286" s="84"/>
      <c r="GH1286" s="84"/>
    </row>
    <row r="1287" spans="187:190" s="2" customFormat="1" ht="18" customHeight="1" x14ac:dyDescent="0.2">
      <c r="GE1287" s="84"/>
      <c r="GF1287" s="84"/>
      <c r="GG1287" s="84"/>
      <c r="GH1287" s="84"/>
    </row>
    <row r="1288" spans="187:190" s="2" customFormat="1" ht="18" customHeight="1" x14ac:dyDescent="0.2">
      <c r="GE1288" s="84"/>
      <c r="GF1288" s="84"/>
      <c r="GG1288" s="84"/>
      <c r="GH1288" s="84"/>
    </row>
    <row r="1289" spans="187:190" s="2" customFormat="1" ht="18" customHeight="1" x14ac:dyDescent="0.2">
      <c r="GE1289" s="84"/>
      <c r="GF1289" s="84"/>
      <c r="GG1289" s="84"/>
      <c r="GH1289" s="84"/>
    </row>
    <row r="1290" spans="187:190" s="2" customFormat="1" ht="18" customHeight="1" x14ac:dyDescent="0.2">
      <c r="GE1290" s="84"/>
      <c r="GF1290" s="84"/>
      <c r="GG1290" s="84"/>
      <c r="GH1290" s="84"/>
    </row>
    <row r="1291" spans="187:190" s="2" customFormat="1" ht="18" customHeight="1" x14ac:dyDescent="0.2">
      <c r="GE1291" s="84"/>
      <c r="GF1291" s="84"/>
      <c r="GG1291" s="84"/>
      <c r="GH1291" s="84"/>
    </row>
    <row r="1292" spans="187:190" s="2" customFormat="1" ht="18" customHeight="1" x14ac:dyDescent="0.2">
      <c r="GE1292" s="84"/>
      <c r="GF1292" s="84"/>
      <c r="GG1292" s="84"/>
      <c r="GH1292" s="84"/>
    </row>
    <row r="1293" spans="187:190" s="2" customFormat="1" ht="18" customHeight="1" x14ac:dyDescent="0.2">
      <c r="GE1293" s="84"/>
      <c r="GF1293" s="84"/>
      <c r="GG1293" s="84"/>
      <c r="GH1293" s="84"/>
    </row>
    <row r="1294" spans="187:190" s="2" customFormat="1" ht="18" customHeight="1" x14ac:dyDescent="0.2">
      <c r="GE1294" s="84"/>
      <c r="GF1294" s="84"/>
      <c r="GG1294" s="84"/>
      <c r="GH1294" s="84"/>
    </row>
    <row r="1295" spans="187:190" s="2" customFormat="1" ht="18" customHeight="1" x14ac:dyDescent="0.2">
      <c r="GE1295" s="84"/>
      <c r="GF1295" s="84"/>
      <c r="GG1295" s="84"/>
      <c r="GH1295" s="84"/>
    </row>
    <row r="1296" spans="187:190" s="2" customFormat="1" ht="18" customHeight="1" x14ac:dyDescent="0.2">
      <c r="GE1296" s="84"/>
      <c r="GF1296" s="84"/>
      <c r="GG1296" s="84"/>
      <c r="GH1296" s="84"/>
    </row>
    <row r="1297" spans="187:190" s="2" customFormat="1" ht="18" customHeight="1" x14ac:dyDescent="0.2">
      <c r="GE1297" s="84"/>
      <c r="GF1297" s="84"/>
      <c r="GG1297" s="84"/>
      <c r="GH1297" s="84"/>
    </row>
    <row r="1298" spans="187:190" s="2" customFormat="1" ht="18" customHeight="1" x14ac:dyDescent="0.2">
      <c r="GE1298" s="84"/>
      <c r="GF1298" s="84"/>
      <c r="GG1298" s="84"/>
      <c r="GH1298" s="84"/>
    </row>
    <row r="1299" spans="187:190" s="2" customFormat="1" ht="18" customHeight="1" x14ac:dyDescent="0.2">
      <c r="GE1299" s="84"/>
      <c r="GF1299" s="84"/>
      <c r="GG1299" s="84"/>
      <c r="GH1299" s="84"/>
    </row>
    <row r="1300" spans="187:190" s="2" customFormat="1" ht="18" customHeight="1" x14ac:dyDescent="0.2">
      <c r="GE1300" s="84"/>
      <c r="GF1300" s="84"/>
      <c r="GG1300" s="84"/>
      <c r="GH1300" s="84"/>
    </row>
    <row r="1301" spans="187:190" s="2" customFormat="1" ht="18" customHeight="1" x14ac:dyDescent="0.2">
      <c r="GE1301" s="84"/>
      <c r="GF1301" s="84"/>
      <c r="GG1301" s="84"/>
      <c r="GH1301" s="84"/>
    </row>
    <row r="1302" spans="187:190" s="2" customFormat="1" ht="18" customHeight="1" x14ac:dyDescent="0.2">
      <c r="GE1302" s="84"/>
      <c r="GF1302" s="84"/>
      <c r="GG1302" s="84"/>
      <c r="GH1302" s="84"/>
    </row>
    <row r="1303" spans="187:190" s="2" customFormat="1" ht="18" customHeight="1" x14ac:dyDescent="0.2">
      <c r="GE1303" s="84"/>
      <c r="GF1303" s="84"/>
      <c r="GG1303" s="84"/>
      <c r="GH1303" s="84"/>
    </row>
    <row r="1304" spans="187:190" s="2" customFormat="1" ht="18" customHeight="1" x14ac:dyDescent="0.2">
      <c r="GE1304" s="84"/>
      <c r="GF1304" s="84"/>
      <c r="GG1304" s="84"/>
      <c r="GH1304" s="84"/>
    </row>
    <row r="1305" spans="187:190" s="2" customFormat="1" ht="18" customHeight="1" x14ac:dyDescent="0.2">
      <c r="GE1305" s="84"/>
      <c r="GF1305" s="84"/>
      <c r="GG1305" s="84"/>
      <c r="GH1305" s="84"/>
    </row>
    <row r="1306" spans="187:190" s="2" customFormat="1" ht="18" customHeight="1" x14ac:dyDescent="0.2">
      <c r="GE1306" s="84"/>
      <c r="GF1306" s="84"/>
      <c r="GG1306" s="84"/>
      <c r="GH1306" s="84"/>
    </row>
    <row r="1307" spans="187:190" s="2" customFormat="1" ht="18" customHeight="1" x14ac:dyDescent="0.2">
      <c r="GE1307" s="84"/>
      <c r="GF1307" s="84"/>
      <c r="GG1307" s="84"/>
      <c r="GH1307" s="84"/>
    </row>
    <row r="1308" spans="187:190" s="2" customFormat="1" ht="18" customHeight="1" x14ac:dyDescent="0.2">
      <c r="GE1308" s="84"/>
      <c r="GF1308" s="84"/>
      <c r="GG1308" s="84"/>
      <c r="GH1308" s="84"/>
    </row>
    <row r="1309" spans="187:190" s="2" customFormat="1" ht="18" customHeight="1" x14ac:dyDescent="0.2">
      <c r="GE1309" s="84"/>
      <c r="GF1309" s="84"/>
      <c r="GG1309" s="84"/>
      <c r="GH1309" s="84"/>
    </row>
    <row r="1310" spans="187:190" s="2" customFormat="1" ht="18" customHeight="1" x14ac:dyDescent="0.2">
      <c r="GE1310" s="84"/>
      <c r="GF1310" s="84"/>
      <c r="GG1310" s="84"/>
      <c r="GH1310" s="84"/>
    </row>
    <row r="1311" spans="187:190" s="2" customFormat="1" ht="18" customHeight="1" x14ac:dyDescent="0.2">
      <c r="GE1311" s="84"/>
      <c r="GF1311" s="84"/>
      <c r="GG1311" s="84"/>
      <c r="GH1311" s="84"/>
    </row>
    <row r="1312" spans="187:190" s="2" customFormat="1" ht="18" customHeight="1" x14ac:dyDescent="0.2">
      <c r="GE1312" s="84"/>
      <c r="GF1312" s="84"/>
      <c r="GG1312" s="84"/>
      <c r="GH1312" s="84"/>
    </row>
    <row r="1313" spans="187:190" s="2" customFormat="1" ht="18" customHeight="1" x14ac:dyDescent="0.2">
      <c r="GE1313" s="84"/>
      <c r="GF1313" s="84"/>
      <c r="GG1313" s="84"/>
      <c r="GH1313" s="84"/>
    </row>
    <row r="1314" spans="187:190" s="2" customFormat="1" ht="18" customHeight="1" x14ac:dyDescent="0.2">
      <c r="GE1314" s="84"/>
      <c r="GF1314" s="84"/>
      <c r="GG1314" s="84"/>
      <c r="GH1314" s="84"/>
    </row>
    <row r="1315" spans="187:190" s="2" customFormat="1" ht="18" customHeight="1" x14ac:dyDescent="0.2">
      <c r="GE1315" s="84"/>
      <c r="GF1315" s="84"/>
      <c r="GG1315" s="84"/>
      <c r="GH1315" s="84"/>
    </row>
    <row r="1316" spans="187:190" s="2" customFormat="1" ht="18" customHeight="1" x14ac:dyDescent="0.2">
      <c r="GE1316" s="84"/>
      <c r="GF1316" s="84"/>
      <c r="GG1316" s="84"/>
      <c r="GH1316" s="84"/>
    </row>
    <row r="1317" spans="187:190" s="2" customFormat="1" ht="18" customHeight="1" x14ac:dyDescent="0.2">
      <c r="GE1317" s="84"/>
      <c r="GF1317" s="84"/>
      <c r="GG1317" s="84"/>
      <c r="GH1317" s="84"/>
    </row>
    <row r="1318" spans="187:190" s="2" customFormat="1" ht="18" customHeight="1" x14ac:dyDescent="0.2">
      <c r="GE1318" s="84"/>
      <c r="GF1318" s="84"/>
      <c r="GG1318" s="84"/>
      <c r="GH1318" s="84"/>
    </row>
    <row r="1319" spans="187:190" s="2" customFormat="1" ht="18" customHeight="1" x14ac:dyDescent="0.2">
      <c r="GE1319" s="84"/>
      <c r="GF1319" s="84"/>
      <c r="GG1319" s="84"/>
      <c r="GH1319" s="84"/>
    </row>
    <row r="1320" spans="187:190" s="2" customFormat="1" ht="18" customHeight="1" x14ac:dyDescent="0.2">
      <c r="GE1320" s="84"/>
      <c r="GF1320" s="84"/>
      <c r="GG1320" s="84"/>
      <c r="GH1320" s="84"/>
    </row>
    <row r="1321" spans="187:190" s="2" customFormat="1" ht="18" customHeight="1" x14ac:dyDescent="0.2">
      <c r="GE1321" s="84"/>
      <c r="GF1321" s="84"/>
      <c r="GG1321" s="84"/>
      <c r="GH1321" s="84"/>
    </row>
    <row r="1322" spans="187:190" s="2" customFormat="1" ht="18" customHeight="1" x14ac:dyDescent="0.2">
      <c r="GE1322" s="84"/>
      <c r="GF1322" s="84"/>
      <c r="GG1322" s="84"/>
      <c r="GH1322" s="84"/>
    </row>
    <row r="1323" spans="187:190" s="2" customFormat="1" ht="18" customHeight="1" x14ac:dyDescent="0.2">
      <c r="GE1323" s="84"/>
      <c r="GF1323" s="84"/>
      <c r="GG1323" s="84"/>
      <c r="GH1323" s="84"/>
    </row>
    <row r="1324" spans="187:190" s="2" customFormat="1" ht="18" customHeight="1" x14ac:dyDescent="0.2">
      <c r="GE1324" s="84"/>
      <c r="GF1324" s="84"/>
      <c r="GG1324" s="84"/>
      <c r="GH1324" s="84"/>
    </row>
    <row r="1325" spans="187:190" s="2" customFormat="1" ht="18" customHeight="1" x14ac:dyDescent="0.2">
      <c r="GE1325" s="84"/>
      <c r="GF1325" s="84"/>
      <c r="GG1325" s="84"/>
      <c r="GH1325" s="84"/>
    </row>
    <row r="1326" spans="187:190" s="2" customFormat="1" ht="18" customHeight="1" x14ac:dyDescent="0.2">
      <c r="GE1326" s="84"/>
      <c r="GF1326" s="84"/>
      <c r="GG1326" s="84"/>
      <c r="GH1326" s="84"/>
    </row>
    <row r="1327" spans="187:190" s="2" customFormat="1" ht="18" customHeight="1" x14ac:dyDescent="0.2">
      <c r="GE1327" s="84"/>
      <c r="GF1327" s="84"/>
      <c r="GG1327" s="84"/>
      <c r="GH1327" s="84"/>
    </row>
    <row r="1328" spans="187:190" s="2" customFormat="1" ht="18" customHeight="1" x14ac:dyDescent="0.2">
      <c r="GE1328" s="84"/>
      <c r="GF1328" s="84"/>
      <c r="GG1328" s="84"/>
      <c r="GH1328" s="84"/>
    </row>
    <row r="1329" spans="187:190" s="2" customFormat="1" ht="18" customHeight="1" x14ac:dyDescent="0.2">
      <c r="GE1329" s="84"/>
      <c r="GF1329" s="84"/>
      <c r="GG1329" s="84"/>
      <c r="GH1329" s="84"/>
    </row>
    <row r="1330" spans="187:190" s="2" customFormat="1" ht="18" customHeight="1" x14ac:dyDescent="0.2">
      <c r="GE1330" s="84"/>
      <c r="GF1330" s="84"/>
      <c r="GG1330" s="84"/>
      <c r="GH1330" s="84"/>
    </row>
    <row r="1331" spans="187:190" s="2" customFormat="1" ht="18" customHeight="1" x14ac:dyDescent="0.2">
      <c r="GE1331" s="84"/>
      <c r="GF1331" s="84"/>
      <c r="GG1331" s="84"/>
      <c r="GH1331" s="84"/>
    </row>
    <row r="1332" spans="187:190" s="2" customFormat="1" ht="18" customHeight="1" x14ac:dyDescent="0.2">
      <c r="GE1332" s="84"/>
      <c r="GF1332" s="84"/>
      <c r="GG1332" s="84"/>
      <c r="GH1332" s="84"/>
    </row>
    <row r="1333" spans="187:190" s="2" customFormat="1" ht="18" customHeight="1" x14ac:dyDescent="0.2">
      <c r="GE1333" s="84"/>
      <c r="GF1333" s="84"/>
      <c r="GG1333" s="84"/>
      <c r="GH1333" s="84"/>
    </row>
    <row r="1334" spans="187:190" s="2" customFormat="1" ht="18" customHeight="1" x14ac:dyDescent="0.2">
      <c r="GE1334" s="84"/>
      <c r="GF1334" s="84"/>
      <c r="GG1334" s="84"/>
      <c r="GH1334" s="84"/>
    </row>
    <row r="1335" spans="187:190" s="2" customFormat="1" ht="18" customHeight="1" x14ac:dyDescent="0.2">
      <c r="GE1335" s="84"/>
      <c r="GF1335" s="84"/>
      <c r="GG1335" s="84"/>
      <c r="GH1335" s="84"/>
    </row>
    <row r="1336" spans="187:190" s="2" customFormat="1" ht="18" customHeight="1" x14ac:dyDescent="0.2">
      <c r="GE1336" s="84"/>
      <c r="GF1336" s="84"/>
      <c r="GG1336" s="84"/>
      <c r="GH1336" s="84"/>
    </row>
    <row r="1337" spans="187:190" s="2" customFormat="1" ht="18" customHeight="1" x14ac:dyDescent="0.2">
      <c r="GE1337" s="84"/>
      <c r="GF1337" s="84"/>
      <c r="GG1337" s="84"/>
      <c r="GH1337" s="84"/>
    </row>
    <row r="1338" spans="187:190" s="2" customFormat="1" ht="18" customHeight="1" x14ac:dyDescent="0.2">
      <c r="GE1338" s="84"/>
      <c r="GF1338" s="84"/>
      <c r="GG1338" s="84"/>
      <c r="GH1338" s="84"/>
    </row>
    <row r="1339" spans="187:190" s="2" customFormat="1" ht="18" customHeight="1" x14ac:dyDescent="0.2">
      <c r="GE1339" s="84"/>
      <c r="GF1339" s="84"/>
      <c r="GG1339" s="84"/>
      <c r="GH1339" s="84"/>
    </row>
    <row r="1340" spans="187:190" s="2" customFormat="1" ht="18" customHeight="1" x14ac:dyDescent="0.2">
      <c r="GE1340" s="84"/>
      <c r="GF1340" s="84"/>
      <c r="GG1340" s="84"/>
      <c r="GH1340" s="84"/>
    </row>
    <row r="1341" spans="187:190" s="2" customFormat="1" ht="18" customHeight="1" x14ac:dyDescent="0.2">
      <c r="GE1341" s="84"/>
      <c r="GF1341" s="84"/>
      <c r="GG1341" s="84"/>
      <c r="GH1341" s="84"/>
    </row>
    <row r="1342" spans="187:190" s="2" customFormat="1" ht="18" customHeight="1" x14ac:dyDescent="0.2">
      <c r="GE1342" s="84"/>
      <c r="GF1342" s="84"/>
      <c r="GG1342" s="84"/>
      <c r="GH1342" s="84"/>
    </row>
    <row r="1343" spans="187:190" s="2" customFormat="1" ht="18" customHeight="1" x14ac:dyDescent="0.2">
      <c r="GE1343" s="84"/>
      <c r="GF1343" s="84"/>
      <c r="GG1343" s="84"/>
      <c r="GH1343" s="84"/>
    </row>
    <row r="1344" spans="187:190" s="2" customFormat="1" ht="18" customHeight="1" x14ac:dyDescent="0.2">
      <c r="GE1344" s="84"/>
      <c r="GF1344" s="84"/>
      <c r="GG1344" s="84"/>
      <c r="GH1344" s="84"/>
    </row>
    <row r="1345" spans="187:190" s="2" customFormat="1" ht="18" customHeight="1" x14ac:dyDescent="0.2">
      <c r="GE1345" s="84"/>
      <c r="GF1345" s="84"/>
      <c r="GG1345" s="84"/>
      <c r="GH1345" s="84"/>
    </row>
    <row r="1346" spans="187:190" s="2" customFormat="1" ht="18" customHeight="1" x14ac:dyDescent="0.2">
      <c r="GE1346" s="84"/>
      <c r="GF1346" s="84"/>
      <c r="GG1346" s="84"/>
      <c r="GH1346" s="84"/>
    </row>
    <row r="1347" spans="187:190" s="2" customFormat="1" ht="18" customHeight="1" x14ac:dyDescent="0.2">
      <c r="GE1347" s="84"/>
      <c r="GF1347" s="84"/>
      <c r="GG1347" s="84"/>
      <c r="GH1347" s="84"/>
    </row>
    <row r="1348" spans="187:190" s="2" customFormat="1" ht="18" customHeight="1" x14ac:dyDescent="0.2">
      <c r="GE1348" s="84"/>
      <c r="GF1348" s="84"/>
      <c r="GG1348" s="84"/>
      <c r="GH1348" s="84"/>
    </row>
    <row r="1349" spans="187:190" s="2" customFormat="1" ht="18" customHeight="1" x14ac:dyDescent="0.2">
      <c r="GE1349" s="84"/>
      <c r="GF1349" s="84"/>
      <c r="GG1349" s="84"/>
      <c r="GH1349" s="84"/>
    </row>
    <row r="1350" spans="187:190" s="2" customFormat="1" ht="18" customHeight="1" x14ac:dyDescent="0.2">
      <c r="GE1350" s="84"/>
      <c r="GF1350" s="84"/>
      <c r="GG1350" s="84"/>
      <c r="GH1350" s="84"/>
    </row>
    <row r="1351" spans="187:190" s="2" customFormat="1" ht="18" customHeight="1" x14ac:dyDescent="0.2">
      <c r="GE1351" s="84"/>
      <c r="GF1351" s="84"/>
      <c r="GG1351" s="84"/>
      <c r="GH1351" s="84"/>
    </row>
    <row r="1352" spans="187:190" s="2" customFormat="1" ht="18" customHeight="1" x14ac:dyDescent="0.2">
      <c r="GE1352" s="84"/>
      <c r="GF1352" s="84"/>
      <c r="GG1352" s="84"/>
      <c r="GH1352" s="84"/>
    </row>
    <row r="1353" spans="187:190" s="2" customFormat="1" ht="18" customHeight="1" x14ac:dyDescent="0.2">
      <c r="GE1353" s="84"/>
      <c r="GF1353" s="84"/>
      <c r="GG1353" s="84"/>
      <c r="GH1353" s="84"/>
    </row>
    <row r="1354" spans="187:190" s="2" customFormat="1" ht="18" customHeight="1" x14ac:dyDescent="0.2">
      <c r="GE1354" s="84"/>
      <c r="GF1354" s="84"/>
      <c r="GG1354" s="84"/>
      <c r="GH1354" s="84"/>
    </row>
    <row r="1355" spans="187:190" s="2" customFormat="1" ht="18" customHeight="1" x14ac:dyDescent="0.2">
      <c r="GE1355" s="84"/>
      <c r="GF1355" s="84"/>
      <c r="GG1355" s="84"/>
      <c r="GH1355" s="84"/>
    </row>
    <row r="1356" spans="187:190" s="2" customFormat="1" ht="18" customHeight="1" x14ac:dyDescent="0.2">
      <c r="GE1356" s="84"/>
      <c r="GF1356" s="84"/>
      <c r="GG1356" s="84"/>
      <c r="GH1356" s="84"/>
    </row>
    <row r="1357" spans="187:190" s="2" customFormat="1" ht="18" customHeight="1" x14ac:dyDescent="0.2">
      <c r="GE1357" s="84"/>
      <c r="GF1357" s="84"/>
      <c r="GG1357" s="84"/>
      <c r="GH1357" s="84"/>
    </row>
    <row r="1358" spans="187:190" s="2" customFormat="1" ht="18" customHeight="1" x14ac:dyDescent="0.2">
      <c r="GE1358" s="84"/>
      <c r="GF1358" s="84"/>
      <c r="GG1358" s="84"/>
      <c r="GH1358" s="84"/>
    </row>
    <row r="1359" spans="187:190" s="2" customFormat="1" ht="18" customHeight="1" x14ac:dyDescent="0.2">
      <c r="GE1359" s="84"/>
      <c r="GF1359" s="84"/>
      <c r="GG1359" s="84"/>
      <c r="GH1359" s="84"/>
    </row>
    <row r="1360" spans="187:190" s="2" customFormat="1" ht="18" customHeight="1" x14ac:dyDescent="0.2">
      <c r="GE1360" s="84"/>
      <c r="GF1360" s="84"/>
      <c r="GG1360" s="84"/>
      <c r="GH1360" s="84"/>
    </row>
    <row r="1361" spans="187:190" s="2" customFormat="1" ht="18" customHeight="1" x14ac:dyDescent="0.2">
      <c r="GE1361" s="84"/>
      <c r="GF1361" s="84"/>
      <c r="GG1361" s="84"/>
      <c r="GH1361" s="84"/>
    </row>
    <row r="1362" spans="187:190" s="2" customFormat="1" ht="18" customHeight="1" x14ac:dyDescent="0.2">
      <c r="GE1362" s="84"/>
      <c r="GF1362" s="84"/>
      <c r="GG1362" s="84"/>
      <c r="GH1362" s="84"/>
    </row>
    <row r="1363" spans="187:190" s="2" customFormat="1" ht="18" customHeight="1" x14ac:dyDescent="0.2">
      <c r="GE1363" s="84"/>
      <c r="GF1363" s="84"/>
      <c r="GG1363" s="84"/>
      <c r="GH1363" s="84"/>
    </row>
    <row r="1364" spans="187:190" s="2" customFormat="1" ht="18" customHeight="1" x14ac:dyDescent="0.2">
      <c r="GE1364" s="84"/>
      <c r="GF1364" s="84"/>
      <c r="GG1364" s="84"/>
      <c r="GH1364" s="84"/>
    </row>
    <row r="1365" spans="187:190" s="2" customFormat="1" ht="18" customHeight="1" x14ac:dyDescent="0.2">
      <c r="GE1365" s="84"/>
      <c r="GF1365" s="84"/>
      <c r="GG1365" s="84"/>
      <c r="GH1365" s="84"/>
    </row>
    <row r="1366" spans="187:190" s="2" customFormat="1" ht="18" customHeight="1" x14ac:dyDescent="0.2">
      <c r="GE1366" s="84"/>
      <c r="GF1366" s="84"/>
      <c r="GG1366" s="84"/>
      <c r="GH1366" s="84"/>
    </row>
    <row r="1367" spans="187:190" s="2" customFormat="1" ht="18" customHeight="1" x14ac:dyDescent="0.2">
      <c r="GE1367" s="84"/>
      <c r="GF1367" s="84"/>
      <c r="GG1367" s="84"/>
      <c r="GH1367" s="84"/>
    </row>
    <row r="1368" spans="187:190" s="2" customFormat="1" ht="18" customHeight="1" x14ac:dyDescent="0.2">
      <c r="GE1368" s="84"/>
      <c r="GF1368" s="84"/>
      <c r="GG1368" s="84"/>
      <c r="GH1368" s="84"/>
    </row>
    <row r="1369" spans="187:190" s="2" customFormat="1" ht="18" customHeight="1" x14ac:dyDescent="0.2">
      <c r="GE1369" s="84"/>
      <c r="GF1369" s="84"/>
      <c r="GG1369" s="84"/>
      <c r="GH1369" s="84"/>
    </row>
    <row r="1370" spans="187:190" s="2" customFormat="1" ht="18" customHeight="1" x14ac:dyDescent="0.2">
      <c r="GE1370" s="84"/>
      <c r="GF1370" s="84"/>
      <c r="GG1370" s="84"/>
      <c r="GH1370" s="84"/>
    </row>
    <row r="1371" spans="187:190" s="2" customFormat="1" ht="18" customHeight="1" x14ac:dyDescent="0.2">
      <c r="GE1371" s="84"/>
      <c r="GF1371" s="84"/>
      <c r="GG1371" s="84"/>
      <c r="GH1371" s="84"/>
    </row>
    <row r="1372" spans="187:190" s="2" customFormat="1" ht="18" customHeight="1" x14ac:dyDescent="0.2">
      <c r="GE1372" s="84"/>
      <c r="GF1372" s="84"/>
      <c r="GG1372" s="84"/>
      <c r="GH1372" s="84"/>
    </row>
    <row r="1373" spans="187:190" s="2" customFormat="1" ht="18" customHeight="1" x14ac:dyDescent="0.2">
      <c r="GE1373" s="84"/>
      <c r="GF1373" s="84"/>
      <c r="GG1373" s="84"/>
      <c r="GH1373" s="84"/>
    </row>
    <row r="1374" spans="187:190" s="2" customFormat="1" ht="18" customHeight="1" x14ac:dyDescent="0.2">
      <c r="GE1374" s="84"/>
      <c r="GF1374" s="84"/>
      <c r="GG1374" s="84"/>
      <c r="GH1374" s="84"/>
    </row>
    <row r="1375" spans="187:190" s="2" customFormat="1" ht="18" customHeight="1" x14ac:dyDescent="0.2">
      <c r="GE1375" s="84"/>
      <c r="GF1375" s="84"/>
      <c r="GG1375" s="84"/>
      <c r="GH1375" s="84"/>
    </row>
    <row r="1376" spans="187:190" s="2" customFormat="1" ht="18" customHeight="1" x14ac:dyDescent="0.2">
      <c r="GE1376" s="84"/>
      <c r="GF1376" s="84"/>
      <c r="GG1376" s="84"/>
      <c r="GH1376" s="84"/>
    </row>
    <row r="1377" spans="187:190" s="2" customFormat="1" ht="18" customHeight="1" x14ac:dyDescent="0.2">
      <c r="GE1377" s="84"/>
      <c r="GF1377" s="84"/>
      <c r="GG1377" s="84"/>
      <c r="GH1377" s="84"/>
    </row>
    <row r="1378" spans="187:190" s="2" customFormat="1" ht="18" customHeight="1" x14ac:dyDescent="0.2">
      <c r="GE1378" s="84"/>
      <c r="GF1378" s="84"/>
      <c r="GG1378" s="84"/>
      <c r="GH1378" s="84"/>
    </row>
    <row r="1379" spans="187:190" s="2" customFormat="1" ht="18" customHeight="1" x14ac:dyDescent="0.2">
      <c r="GE1379" s="84"/>
      <c r="GF1379" s="84"/>
      <c r="GG1379" s="84"/>
      <c r="GH1379" s="84"/>
    </row>
    <row r="1380" spans="187:190" s="2" customFormat="1" ht="18" customHeight="1" x14ac:dyDescent="0.2">
      <c r="GE1380" s="84"/>
      <c r="GF1380" s="84"/>
      <c r="GG1380" s="84"/>
      <c r="GH1380" s="84"/>
    </row>
    <row r="1381" spans="187:190" s="2" customFormat="1" ht="18" customHeight="1" x14ac:dyDescent="0.2">
      <c r="GE1381" s="84"/>
      <c r="GF1381" s="84"/>
      <c r="GG1381" s="84"/>
      <c r="GH1381" s="84"/>
    </row>
    <row r="1382" spans="187:190" s="2" customFormat="1" ht="18" customHeight="1" x14ac:dyDescent="0.2">
      <c r="GE1382" s="84"/>
      <c r="GF1382" s="84"/>
      <c r="GG1382" s="84"/>
      <c r="GH1382" s="84"/>
    </row>
    <row r="1383" spans="187:190" s="2" customFormat="1" ht="18" customHeight="1" x14ac:dyDescent="0.2">
      <c r="GE1383" s="84"/>
      <c r="GF1383" s="84"/>
      <c r="GG1383" s="84"/>
      <c r="GH1383" s="84"/>
    </row>
    <row r="1384" spans="187:190" s="2" customFormat="1" ht="18" customHeight="1" x14ac:dyDescent="0.2">
      <c r="GE1384" s="84"/>
      <c r="GF1384" s="84"/>
      <c r="GG1384" s="84"/>
      <c r="GH1384" s="84"/>
    </row>
    <row r="1385" spans="187:190" s="2" customFormat="1" ht="18" customHeight="1" x14ac:dyDescent="0.2">
      <c r="GE1385" s="84"/>
      <c r="GF1385" s="84"/>
      <c r="GG1385" s="84"/>
      <c r="GH1385" s="84"/>
    </row>
    <row r="1386" spans="187:190" s="2" customFormat="1" ht="18" customHeight="1" x14ac:dyDescent="0.2">
      <c r="GE1386" s="84"/>
      <c r="GF1386" s="84"/>
      <c r="GG1386" s="84"/>
      <c r="GH1386" s="84"/>
    </row>
    <row r="1387" spans="187:190" s="2" customFormat="1" ht="18" customHeight="1" x14ac:dyDescent="0.2">
      <c r="GE1387" s="84"/>
      <c r="GF1387" s="84"/>
      <c r="GG1387" s="84"/>
      <c r="GH1387" s="84"/>
    </row>
    <row r="1388" spans="187:190" s="2" customFormat="1" ht="18" customHeight="1" x14ac:dyDescent="0.2">
      <c r="GE1388" s="84"/>
      <c r="GF1388" s="84"/>
      <c r="GG1388" s="84"/>
      <c r="GH1388" s="84"/>
    </row>
    <row r="1389" spans="187:190" s="2" customFormat="1" ht="18" customHeight="1" x14ac:dyDescent="0.2">
      <c r="GE1389" s="84"/>
      <c r="GF1389" s="84"/>
      <c r="GG1389" s="84"/>
      <c r="GH1389" s="84"/>
    </row>
    <row r="1390" spans="187:190" s="2" customFormat="1" ht="18" customHeight="1" x14ac:dyDescent="0.2">
      <c r="GE1390" s="84"/>
      <c r="GF1390" s="84"/>
      <c r="GG1390" s="84"/>
      <c r="GH1390" s="84"/>
    </row>
    <row r="1391" spans="187:190" s="2" customFormat="1" ht="18" customHeight="1" x14ac:dyDescent="0.2">
      <c r="GE1391" s="84"/>
      <c r="GF1391" s="84"/>
      <c r="GG1391" s="84"/>
      <c r="GH1391" s="84"/>
    </row>
    <row r="1392" spans="187:190" s="2" customFormat="1" ht="18" customHeight="1" x14ac:dyDescent="0.2">
      <c r="GE1392" s="84"/>
      <c r="GF1392" s="84"/>
      <c r="GG1392" s="84"/>
      <c r="GH1392" s="84"/>
    </row>
    <row r="1393" spans="187:190" s="2" customFormat="1" ht="18" customHeight="1" x14ac:dyDescent="0.2">
      <c r="GE1393" s="84"/>
      <c r="GF1393" s="84"/>
      <c r="GG1393" s="84"/>
      <c r="GH1393" s="84"/>
    </row>
    <row r="1394" spans="187:190" s="2" customFormat="1" ht="18" customHeight="1" x14ac:dyDescent="0.2">
      <c r="GE1394" s="84"/>
      <c r="GF1394" s="84"/>
      <c r="GG1394" s="84"/>
      <c r="GH1394" s="84"/>
    </row>
    <row r="1395" spans="187:190" s="2" customFormat="1" ht="18" customHeight="1" x14ac:dyDescent="0.2">
      <c r="GE1395" s="84"/>
      <c r="GF1395" s="84"/>
      <c r="GG1395" s="84"/>
      <c r="GH1395" s="84"/>
    </row>
    <row r="1396" spans="187:190" s="2" customFormat="1" ht="18" customHeight="1" x14ac:dyDescent="0.2">
      <c r="GE1396" s="84"/>
      <c r="GF1396" s="84"/>
      <c r="GG1396" s="84"/>
      <c r="GH1396" s="84"/>
    </row>
    <row r="1397" spans="187:190" s="2" customFormat="1" ht="18" customHeight="1" x14ac:dyDescent="0.2">
      <c r="GE1397" s="84"/>
      <c r="GF1397" s="84"/>
      <c r="GG1397" s="84"/>
      <c r="GH1397" s="84"/>
    </row>
    <row r="1398" spans="187:190" s="2" customFormat="1" ht="18" customHeight="1" x14ac:dyDescent="0.2">
      <c r="GE1398" s="84"/>
      <c r="GF1398" s="84"/>
      <c r="GG1398" s="84"/>
      <c r="GH1398" s="84"/>
    </row>
    <row r="1399" spans="187:190" s="2" customFormat="1" ht="18" customHeight="1" x14ac:dyDescent="0.2">
      <c r="GE1399" s="84"/>
      <c r="GF1399" s="84"/>
      <c r="GG1399" s="84"/>
      <c r="GH1399" s="84"/>
    </row>
    <row r="1400" spans="187:190" s="2" customFormat="1" ht="18" customHeight="1" x14ac:dyDescent="0.2">
      <c r="GE1400" s="84"/>
      <c r="GF1400" s="84"/>
      <c r="GG1400" s="84"/>
      <c r="GH1400" s="84"/>
    </row>
    <row r="1401" spans="187:190" s="2" customFormat="1" ht="18" customHeight="1" x14ac:dyDescent="0.2">
      <c r="GE1401" s="84"/>
      <c r="GF1401" s="84"/>
      <c r="GG1401" s="84"/>
      <c r="GH1401" s="84"/>
    </row>
    <row r="1402" spans="187:190" s="2" customFormat="1" ht="18" customHeight="1" x14ac:dyDescent="0.2">
      <c r="GE1402" s="84"/>
      <c r="GF1402" s="84"/>
      <c r="GG1402" s="84"/>
      <c r="GH1402" s="84"/>
    </row>
    <row r="1403" spans="187:190" s="2" customFormat="1" ht="18" customHeight="1" x14ac:dyDescent="0.2">
      <c r="GE1403" s="84"/>
      <c r="GF1403" s="84"/>
      <c r="GG1403" s="84"/>
      <c r="GH1403" s="84"/>
    </row>
    <row r="1404" spans="187:190" s="2" customFormat="1" ht="18" customHeight="1" x14ac:dyDescent="0.2">
      <c r="GE1404" s="84"/>
      <c r="GF1404" s="84"/>
      <c r="GG1404" s="84"/>
      <c r="GH1404" s="84"/>
    </row>
    <row r="1405" spans="187:190" s="2" customFormat="1" ht="18" customHeight="1" x14ac:dyDescent="0.2">
      <c r="GE1405" s="84"/>
      <c r="GF1405" s="84"/>
      <c r="GG1405" s="84"/>
      <c r="GH1405" s="84"/>
    </row>
    <row r="1406" spans="187:190" s="2" customFormat="1" ht="18" customHeight="1" x14ac:dyDescent="0.2">
      <c r="GE1406" s="84"/>
      <c r="GF1406" s="84"/>
      <c r="GG1406" s="84"/>
      <c r="GH1406" s="84"/>
    </row>
    <row r="1407" spans="187:190" s="2" customFormat="1" ht="18" customHeight="1" x14ac:dyDescent="0.2">
      <c r="GE1407" s="84"/>
      <c r="GF1407" s="84"/>
      <c r="GG1407" s="84"/>
      <c r="GH1407" s="84"/>
    </row>
    <row r="1408" spans="187:190" s="2" customFormat="1" ht="18" customHeight="1" x14ac:dyDescent="0.2">
      <c r="GE1408" s="84"/>
      <c r="GF1408" s="84"/>
      <c r="GG1408" s="84"/>
      <c r="GH1408" s="84"/>
    </row>
    <row r="1409" spans="187:190" s="2" customFormat="1" ht="18" customHeight="1" x14ac:dyDescent="0.2">
      <c r="GE1409" s="84"/>
      <c r="GF1409" s="84"/>
      <c r="GG1409" s="84"/>
      <c r="GH1409" s="84"/>
    </row>
    <row r="1410" spans="187:190" s="2" customFormat="1" ht="18" customHeight="1" x14ac:dyDescent="0.2">
      <c r="GE1410" s="84"/>
      <c r="GF1410" s="84"/>
      <c r="GG1410" s="84"/>
      <c r="GH1410" s="84"/>
    </row>
    <row r="1411" spans="187:190" s="2" customFormat="1" ht="18" customHeight="1" x14ac:dyDescent="0.2">
      <c r="GE1411" s="84"/>
      <c r="GF1411" s="84"/>
      <c r="GG1411" s="84"/>
      <c r="GH1411" s="84"/>
    </row>
    <row r="1412" spans="187:190" s="2" customFormat="1" ht="18" customHeight="1" x14ac:dyDescent="0.2">
      <c r="GE1412" s="84"/>
      <c r="GF1412" s="84"/>
      <c r="GG1412" s="84"/>
      <c r="GH1412" s="84"/>
    </row>
    <row r="1413" spans="187:190" s="2" customFormat="1" ht="18" customHeight="1" x14ac:dyDescent="0.2">
      <c r="GE1413" s="84"/>
      <c r="GF1413" s="84"/>
      <c r="GG1413" s="84"/>
      <c r="GH1413" s="84"/>
    </row>
    <row r="1414" spans="187:190" s="2" customFormat="1" ht="18" customHeight="1" x14ac:dyDescent="0.2">
      <c r="GE1414" s="84"/>
      <c r="GF1414" s="84"/>
      <c r="GG1414" s="84"/>
      <c r="GH1414" s="84"/>
    </row>
    <row r="1415" spans="187:190" s="2" customFormat="1" ht="18" customHeight="1" x14ac:dyDescent="0.2">
      <c r="GE1415" s="84"/>
      <c r="GF1415" s="84"/>
      <c r="GG1415" s="84"/>
      <c r="GH1415" s="84"/>
    </row>
    <row r="1416" spans="187:190" s="2" customFormat="1" ht="18" customHeight="1" x14ac:dyDescent="0.2">
      <c r="GE1416" s="84"/>
      <c r="GF1416" s="84"/>
      <c r="GG1416" s="84"/>
      <c r="GH1416" s="84"/>
    </row>
    <row r="1417" spans="187:190" s="2" customFormat="1" ht="18" customHeight="1" x14ac:dyDescent="0.2">
      <c r="GE1417" s="84"/>
      <c r="GF1417" s="84"/>
      <c r="GG1417" s="84"/>
      <c r="GH1417" s="84"/>
    </row>
    <row r="1418" spans="187:190" s="2" customFormat="1" ht="18" customHeight="1" x14ac:dyDescent="0.2">
      <c r="GE1418" s="84"/>
      <c r="GF1418" s="84"/>
      <c r="GG1418" s="84"/>
      <c r="GH1418" s="84"/>
    </row>
    <row r="1419" spans="187:190" s="2" customFormat="1" ht="18" customHeight="1" x14ac:dyDescent="0.2">
      <c r="GE1419" s="84"/>
      <c r="GF1419" s="84"/>
      <c r="GG1419" s="84"/>
      <c r="GH1419" s="84"/>
    </row>
    <row r="1420" spans="187:190" s="2" customFormat="1" ht="18" customHeight="1" x14ac:dyDescent="0.2">
      <c r="GE1420" s="84"/>
      <c r="GF1420" s="84"/>
      <c r="GG1420" s="84"/>
      <c r="GH1420" s="84"/>
    </row>
    <row r="1421" spans="187:190" s="2" customFormat="1" ht="18" customHeight="1" x14ac:dyDescent="0.2">
      <c r="GE1421" s="84"/>
      <c r="GF1421" s="84"/>
      <c r="GG1421" s="84"/>
      <c r="GH1421" s="84"/>
    </row>
    <row r="1422" spans="187:190" s="2" customFormat="1" ht="18" customHeight="1" x14ac:dyDescent="0.2">
      <c r="GE1422" s="84"/>
      <c r="GF1422" s="84"/>
      <c r="GG1422" s="84"/>
      <c r="GH1422" s="84"/>
    </row>
    <row r="1423" spans="187:190" s="2" customFormat="1" ht="18" customHeight="1" x14ac:dyDescent="0.2">
      <c r="GE1423" s="84"/>
      <c r="GF1423" s="84"/>
      <c r="GG1423" s="84"/>
      <c r="GH1423" s="84"/>
    </row>
    <row r="1424" spans="187:190" s="2" customFormat="1" ht="18" customHeight="1" x14ac:dyDescent="0.2">
      <c r="GE1424" s="84"/>
      <c r="GF1424" s="84"/>
      <c r="GG1424" s="84"/>
      <c r="GH1424" s="84"/>
    </row>
    <row r="1425" spans="187:190" s="2" customFormat="1" ht="18" customHeight="1" x14ac:dyDescent="0.2">
      <c r="GE1425" s="84"/>
      <c r="GF1425" s="84"/>
      <c r="GG1425" s="84"/>
      <c r="GH1425" s="84"/>
    </row>
    <row r="1426" spans="187:190" s="2" customFormat="1" ht="18" customHeight="1" x14ac:dyDescent="0.2">
      <c r="GE1426" s="84"/>
      <c r="GF1426" s="84"/>
      <c r="GG1426" s="84"/>
      <c r="GH1426" s="84"/>
    </row>
    <row r="1427" spans="187:190" s="2" customFormat="1" ht="18" customHeight="1" x14ac:dyDescent="0.2">
      <c r="GE1427" s="84"/>
      <c r="GF1427" s="84"/>
      <c r="GG1427" s="84"/>
      <c r="GH1427" s="84"/>
    </row>
    <row r="1428" spans="187:190" s="2" customFormat="1" ht="18" customHeight="1" x14ac:dyDescent="0.2">
      <c r="GE1428" s="84"/>
      <c r="GF1428" s="84"/>
      <c r="GG1428" s="84"/>
      <c r="GH1428" s="84"/>
    </row>
    <row r="1429" spans="187:190" s="2" customFormat="1" ht="18" customHeight="1" x14ac:dyDescent="0.2">
      <c r="GE1429" s="84"/>
      <c r="GF1429" s="84"/>
      <c r="GG1429" s="84"/>
      <c r="GH1429" s="84"/>
    </row>
    <row r="1430" spans="187:190" s="2" customFormat="1" ht="18" customHeight="1" x14ac:dyDescent="0.2">
      <c r="GE1430" s="84"/>
      <c r="GF1430" s="84"/>
      <c r="GG1430" s="84"/>
      <c r="GH1430" s="84"/>
    </row>
    <row r="1431" spans="187:190" s="2" customFormat="1" ht="18" customHeight="1" x14ac:dyDescent="0.2">
      <c r="GE1431" s="84"/>
      <c r="GF1431" s="84"/>
      <c r="GG1431" s="84"/>
      <c r="GH1431" s="84"/>
    </row>
    <row r="1432" spans="187:190" s="2" customFormat="1" ht="18" customHeight="1" x14ac:dyDescent="0.2">
      <c r="GE1432" s="84"/>
      <c r="GF1432" s="84"/>
      <c r="GG1432" s="84"/>
      <c r="GH1432" s="84"/>
    </row>
    <row r="1433" spans="187:190" s="2" customFormat="1" ht="18" customHeight="1" x14ac:dyDescent="0.2">
      <c r="GE1433" s="84"/>
      <c r="GF1433" s="84"/>
      <c r="GG1433" s="84"/>
      <c r="GH1433" s="84"/>
    </row>
    <row r="1434" spans="187:190" s="2" customFormat="1" ht="18" customHeight="1" x14ac:dyDescent="0.2">
      <c r="GE1434" s="84"/>
      <c r="GF1434" s="84"/>
      <c r="GG1434" s="84"/>
      <c r="GH1434" s="84"/>
    </row>
    <row r="1435" spans="187:190" s="2" customFormat="1" ht="18" customHeight="1" x14ac:dyDescent="0.2">
      <c r="GE1435" s="84"/>
      <c r="GF1435" s="84"/>
      <c r="GG1435" s="84"/>
      <c r="GH1435" s="84"/>
    </row>
    <row r="1436" spans="187:190" s="2" customFormat="1" ht="18" customHeight="1" x14ac:dyDescent="0.2">
      <c r="GE1436" s="84"/>
      <c r="GF1436" s="84"/>
      <c r="GG1436" s="84"/>
      <c r="GH1436" s="84"/>
    </row>
    <row r="1437" spans="187:190" s="2" customFormat="1" ht="18" customHeight="1" x14ac:dyDescent="0.2">
      <c r="GE1437" s="84"/>
      <c r="GF1437" s="84"/>
      <c r="GG1437" s="84"/>
      <c r="GH1437" s="84"/>
    </row>
    <row r="1438" spans="187:190" s="2" customFormat="1" ht="18" customHeight="1" x14ac:dyDescent="0.2">
      <c r="GE1438" s="84"/>
      <c r="GF1438" s="84"/>
      <c r="GG1438" s="84"/>
      <c r="GH1438" s="84"/>
    </row>
    <row r="1439" spans="187:190" s="2" customFormat="1" ht="18" customHeight="1" x14ac:dyDescent="0.2">
      <c r="GE1439" s="84"/>
      <c r="GF1439" s="84"/>
      <c r="GG1439" s="84"/>
      <c r="GH1439" s="84"/>
    </row>
    <row r="1440" spans="187:190" s="2" customFormat="1" ht="18" customHeight="1" x14ac:dyDescent="0.2">
      <c r="GE1440" s="84"/>
      <c r="GF1440" s="84"/>
      <c r="GG1440" s="84"/>
      <c r="GH1440" s="84"/>
    </row>
    <row r="1441" spans="187:190" s="2" customFormat="1" ht="18" customHeight="1" x14ac:dyDescent="0.2">
      <c r="GE1441" s="84"/>
      <c r="GF1441" s="84"/>
      <c r="GG1441" s="84"/>
      <c r="GH1441" s="84"/>
    </row>
    <row r="1442" spans="187:190" s="2" customFormat="1" ht="18" customHeight="1" x14ac:dyDescent="0.2">
      <c r="GE1442" s="84"/>
      <c r="GF1442" s="84"/>
      <c r="GG1442" s="84"/>
      <c r="GH1442" s="84"/>
    </row>
    <row r="1443" spans="187:190" s="2" customFormat="1" ht="18" customHeight="1" x14ac:dyDescent="0.2">
      <c r="GE1443" s="84"/>
      <c r="GF1443" s="84"/>
      <c r="GG1443" s="84"/>
      <c r="GH1443" s="84"/>
    </row>
    <row r="1444" spans="187:190" s="2" customFormat="1" ht="18" customHeight="1" x14ac:dyDescent="0.2">
      <c r="GE1444" s="84"/>
      <c r="GF1444" s="84"/>
      <c r="GG1444" s="84"/>
      <c r="GH1444" s="84"/>
    </row>
    <row r="1445" spans="187:190" s="2" customFormat="1" ht="18" customHeight="1" x14ac:dyDescent="0.2">
      <c r="GE1445" s="84"/>
      <c r="GF1445" s="84"/>
      <c r="GG1445" s="84"/>
      <c r="GH1445" s="84"/>
    </row>
    <row r="1446" spans="187:190" s="2" customFormat="1" ht="18" customHeight="1" x14ac:dyDescent="0.2">
      <c r="GE1446" s="84"/>
      <c r="GF1446" s="84"/>
      <c r="GG1446" s="84"/>
      <c r="GH1446" s="84"/>
    </row>
    <row r="1447" spans="187:190" s="2" customFormat="1" ht="18" customHeight="1" x14ac:dyDescent="0.2">
      <c r="GE1447" s="84"/>
      <c r="GF1447" s="84"/>
      <c r="GG1447" s="84"/>
      <c r="GH1447" s="84"/>
    </row>
    <row r="1448" spans="187:190" s="2" customFormat="1" ht="18" customHeight="1" x14ac:dyDescent="0.2">
      <c r="GE1448" s="84"/>
      <c r="GF1448" s="84"/>
      <c r="GG1448" s="84"/>
      <c r="GH1448" s="84"/>
    </row>
    <row r="1449" spans="187:190" s="2" customFormat="1" ht="18" customHeight="1" x14ac:dyDescent="0.2">
      <c r="GE1449" s="84"/>
      <c r="GF1449" s="84"/>
      <c r="GG1449" s="84"/>
      <c r="GH1449" s="84"/>
    </row>
    <row r="1450" spans="187:190" s="2" customFormat="1" ht="18" customHeight="1" x14ac:dyDescent="0.2">
      <c r="GE1450" s="84"/>
      <c r="GF1450" s="84"/>
      <c r="GG1450" s="84"/>
      <c r="GH1450" s="84"/>
    </row>
    <row r="1451" spans="187:190" s="2" customFormat="1" ht="18" customHeight="1" x14ac:dyDescent="0.2">
      <c r="GE1451" s="84"/>
      <c r="GF1451" s="84"/>
      <c r="GG1451" s="84"/>
      <c r="GH1451" s="84"/>
    </row>
    <row r="1452" spans="187:190" s="2" customFormat="1" ht="18" customHeight="1" x14ac:dyDescent="0.2">
      <c r="GE1452" s="84"/>
      <c r="GF1452" s="84"/>
      <c r="GG1452" s="84"/>
      <c r="GH1452" s="84"/>
    </row>
    <row r="1453" spans="187:190" s="2" customFormat="1" ht="18" customHeight="1" x14ac:dyDescent="0.2">
      <c r="GE1453" s="84"/>
      <c r="GF1453" s="84"/>
      <c r="GG1453" s="84"/>
      <c r="GH1453" s="84"/>
    </row>
    <row r="1454" spans="187:190" s="2" customFormat="1" ht="18" customHeight="1" x14ac:dyDescent="0.2">
      <c r="GE1454" s="84"/>
      <c r="GF1454" s="84"/>
      <c r="GG1454" s="84"/>
      <c r="GH1454" s="84"/>
    </row>
    <row r="1455" spans="187:190" s="2" customFormat="1" ht="18" customHeight="1" x14ac:dyDescent="0.2">
      <c r="GE1455" s="84"/>
      <c r="GF1455" s="84"/>
      <c r="GG1455" s="84"/>
      <c r="GH1455" s="84"/>
    </row>
    <row r="1456" spans="187:190" s="2" customFormat="1" ht="18" customHeight="1" x14ac:dyDescent="0.2">
      <c r="GE1456" s="84"/>
      <c r="GF1456" s="84"/>
      <c r="GG1456" s="84"/>
      <c r="GH1456" s="84"/>
    </row>
    <row r="1457" spans="187:190" s="2" customFormat="1" ht="18" customHeight="1" x14ac:dyDescent="0.2">
      <c r="GE1457" s="84"/>
      <c r="GF1457" s="84"/>
      <c r="GG1457" s="84"/>
      <c r="GH1457" s="84"/>
    </row>
    <row r="1458" spans="187:190" s="2" customFormat="1" ht="18" customHeight="1" x14ac:dyDescent="0.2">
      <c r="GE1458" s="84"/>
      <c r="GF1458" s="84"/>
      <c r="GG1458" s="84"/>
      <c r="GH1458" s="84"/>
    </row>
    <row r="1459" spans="187:190" s="2" customFormat="1" ht="18" customHeight="1" x14ac:dyDescent="0.2">
      <c r="GE1459" s="84"/>
      <c r="GF1459" s="84"/>
      <c r="GG1459" s="84"/>
      <c r="GH1459" s="84"/>
    </row>
    <row r="1460" spans="187:190" s="2" customFormat="1" ht="18" customHeight="1" x14ac:dyDescent="0.2">
      <c r="GE1460" s="84"/>
      <c r="GF1460" s="84"/>
      <c r="GG1460" s="84"/>
      <c r="GH1460" s="84"/>
    </row>
    <row r="1461" spans="187:190" s="2" customFormat="1" ht="18" customHeight="1" x14ac:dyDescent="0.2">
      <c r="GE1461" s="84"/>
      <c r="GF1461" s="84"/>
      <c r="GG1461" s="84"/>
      <c r="GH1461" s="84"/>
    </row>
    <row r="1462" spans="187:190" s="2" customFormat="1" ht="18" customHeight="1" x14ac:dyDescent="0.2">
      <c r="GE1462" s="84"/>
      <c r="GF1462" s="84"/>
      <c r="GG1462" s="84"/>
      <c r="GH1462" s="84"/>
    </row>
    <row r="1463" spans="187:190" s="2" customFormat="1" ht="18" customHeight="1" x14ac:dyDescent="0.2">
      <c r="GE1463" s="84"/>
      <c r="GF1463" s="84"/>
      <c r="GG1463" s="84"/>
      <c r="GH1463" s="84"/>
    </row>
    <row r="1464" spans="187:190" s="2" customFormat="1" ht="18" customHeight="1" x14ac:dyDescent="0.2">
      <c r="GE1464" s="84"/>
      <c r="GF1464" s="84"/>
      <c r="GG1464" s="84"/>
      <c r="GH1464" s="84"/>
    </row>
    <row r="1465" spans="187:190" s="2" customFormat="1" ht="18" customHeight="1" x14ac:dyDescent="0.2">
      <c r="GE1465" s="84"/>
      <c r="GF1465" s="84"/>
      <c r="GG1465" s="84"/>
      <c r="GH1465" s="84"/>
    </row>
    <row r="1466" spans="187:190" s="2" customFormat="1" ht="18" customHeight="1" x14ac:dyDescent="0.2">
      <c r="GE1466" s="84"/>
      <c r="GF1466" s="84"/>
      <c r="GG1466" s="84"/>
      <c r="GH1466" s="84"/>
    </row>
    <row r="1467" spans="187:190" s="2" customFormat="1" ht="18" customHeight="1" x14ac:dyDescent="0.2">
      <c r="GE1467" s="84"/>
      <c r="GF1467" s="84"/>
      <c r="GG1467" s="84"/>
      <c r="GH1467" s="84"/>
    </row>
    <row r="1468" spans="187:190" s="2" customFormat="1" ht="18" customHeight="1" x14ac:dyDescent="0.2">
      <c r="GE1468" s="84"/>
      <c r="GF1468" s="84"/>
      <c r="GG1468" s="84"/>
      <c r="GH1468" s="84"/>
    </row>
    <row r="1469" spans="187:190" s="2" customFormat="1" ht="18" customHeight="1" x14ac:dyDescent="0.2">
      <c r="GE1469" s="84"/>
      <c r="GF1469" s="84"/>
      <c r="GG1469" s="84"/>
      <c r="GH1469" s="84"/>
    </row>
    <row r="1470" spans="187:190" s="2" customFormat="1" ht="18" customHeight="1" x14ac:dyDescent="0.2">
      <c r="GE1470" s="84"/>
      <c r="GF1470" s="84"/>
      <c r="GG1470" s="84"/>
      <c r="GH1470" s="84"/>
    </row>
    <row r="1471" spans="187:190" s="2" customFormat="1" ht="18" customHeight="1" x14ac:dyDescent="0.2">
      <c r="GE1471" s="84"/>
      <c r="GF1471" s="84"/>
      <c r="GG1471" s="84"/>
      <c r="GH1471" s="84"/>
    </row>
    <row r="1472" spans="187:190" s="2" customFormat="1" ht="18" customHeight="1" x14ac:dyDescent="0.2">
      <c r="GE1472" s="84"/>
      <c r="GF1472" s="84"/>
      <c r="GG1472" s="84"/>
      <c r="GH1472" s="84"/>
    </row>
    <row r="1473" spans="187:190" s="2" customFormat="1" ht="18" customHeight="1" x14ac:dyDescent="0.2">
      <c r="GE1473" s="84"/>
      <c r="GF1473" s="84"/>
      <c r="GG1473" s="84"/>
      <c r="GH1473" s="84"/>
    </row>
    <row r="1474" spans="187:190" s="2" customFormat="1" ht="18" customHeight="1" x14ac:dyDescent="0.2">
      <c r="GE1474" s="84"/>
      <c r="GF1474" s="84"/>
      <c r="GG1474" s="84"/>
      <c r="GH1474" s="84"/>
    </row>
    <row r="1475" spans="187:190" s="2" customFormat="1" ht="18" customHeight="1" x14ac:dyDescent="0.2">
      <c r="GE1475" s="84"/>
      <c r="GF1475" s="84"/>
      <c r="GG1475" s="84"/>
      <c r="GH1475" s="84"/>
    </row>
    <row r="1476" spans="187:190" s="2" customFormat="1" ht="18" customHeight="1" x14ac:dyDescent="0.2">
      <c r="GE1476" s="84"/>
      <c r="GF1476" s="84"/>
      <c r="GG1476" s="84"/>
      <c r="GH1476" s="84"/>
    </row>
    <row r="1477" spans="187:190" s="2" customFormat="1" ht="18" customHeight="1" x14ac:dyDescent="0.2">
      <c r="GE1477" s="84"/>
      <c r="GF1477" s="84"/>
      <c r="GG1477" s="84"/>
      <c r="GH1477" s="84"/>
    </row>
    <row r="1478" spans="187:190" s="2" customFormat="1" ht="18" customHeight="1" x14ac:dyDescent="0.2">
      <c r="GE1478" s="84"/>
      <c r="GF1478" s="84"/>
      <c r="GG1478" s="84"/>
      <c r="GH1478" s="84"/>
    </row>
    <row r="1479" spans="187:190" s="2" customFormat="1" ht="18" customHeight="1" x14ac:dyDescent="0.2">
      <c r="GE1479" s="84"/>
      <c r="GF1479" s="84"/>
      <c r="GG1479" s="84"/>
      <c r="GH1479" s="84"/>
    </row>
    <row r="1480" spans="187:190" s="2" customFormat="1" ht="18" customHeight="1" x14ac:dyDescent="0.2">
      <c r="GE1480" s="84"/>
      <c r="GF1480" s="84"/>
      <c r="GG1480" s="84"/>
      <c r="GH1480" s="84"/>
    </row>
    <row r="1481" spans="187:190" s="2" customFormat="1" ht="18" customHeight="1" x14ac:dyDescent="0.2">
      <c r="GE1481" s="84"/>
      <c r="GF1481" s="84"/>
      <c r="GG1481" s="84"/>
      <c r="GH1481" s="84"/>
    </row>
    <row r="1482" spans="187:190" s="2" customFormat="1" ht="18" customHeight="1" x14ac:dyDescent="0.2">
      <c r="GE1482" s="84"/>
      <c r="GF1482" s="84"/>
      <c r="GG1482" s="84"/>
      <c r="GH1482" s="84"/>
    </row>
    <row r="1483" spans="187:190" s="2" customFormat="1" ht="18" customHeight="1" x14ac:dyDescent="0.2">
      <c r="GE1483" s="84"/>
      <c r="GF1483" s="84"/>
      <c r="GG1483" s="84"/>
      <c r="GH1483" s="84"/>
    </row>
    <row r="1484" spans="187:190" s="2" customFormat="1" ht="18" customHeight="1" x14ac:dyDescent="0.2">
      <c r="GE1484" s="84"/>
      <c r="GF1484" s="84"/>
      <c r="GG1484" s="84"/>
      <c r="GH1484" s="84"/>
    </row>
    <row r="1485" spans="187:190" s="2" customFormat="1" ht="18" customHeight="1" x14ac:dyDescent="0.2">
      <c r="GE1485" s="84"/>
      <c r="GF1485" s="84"/>
      <c r="GG1485" s="84"/>
      <c r="GH1485" s="84"/>
    </row>
    <row r="1486" spans="187:190" s="2" customFormat="1" ht="18" customHeight="1" x14ac:dyDescent="0.2">
      <c r="GE1486" s="84"/>
      <c r="GF1486" s="84"/>
      <c r="GG1486" s="84"/>
      <c r="GH1486" s="84"/>
    </row>
    <row r="1487" spans="187:190" s="2" customFormat="1" ht="18" customHeight="1" x14ac:dyDescent="0.2">
      <c r="GE1487" s="84"/>
      <c r="GF1487" s="84"/>
      <c r="GG1487" s="84"/>
      <c r="GH1487" s="84"/>
    </row>
    <row r="1488" spans="187:190" s="2" customFormat="1" ht="18" customHeight="1" x14ac:dyDescent="0.2">
      <c r="GE1488" s="84"/>
      <c r="GF1488" s="84"/>
      <c r="GG1488" s="84"/>
      <c r="GH1488" s="84"/>
    </row>
    <row r="1489" spans="187:190" s="2" customFormat="1" ht="18" customHeight="1" x14ac:dyDescent="0.2">
      <c r="GE1489" s="84"/>
      <c r="GF1489" s="84"/>
      <c r="GG1489" s="84"/>
      <c r="GH1489" s="84"/>
    </row>
    <row r="1490" spans="187:190" s="2" customFormat="1" ht="18" customHeight="1" x14ac:dyDescent="0.2">
      <c r="GE1490" s="84"/>
      <c r="GF1490" s="84"/>
      <c r="GG1490" s="84"/>
      <c r="GH1490" s="84"/>
    </row>
    <row r="1491" spans="187:190" s="2" customFormat="1" ht="18" customHeight="1" x14ac:dyDescent="0.2">
      <c r="GE1491" s="84"/>
      <c r="GF1491" s="84"/>
      <c r="GG1491" s="84"/>
      <c r="GH1491" s="84"/>
    </row>
    <row r="1492" spans="187:190" s="2" customFormat="1" ht="18" customHeight="1" x14ac:dyDescent="0.2">
      <c r="GE1492" s="84"/>
      <c r="GF1492" s="84"/>
      <c r="GG1492" s="84"/>
      <c r="GH1492" s="84"/>
    </row>
    <row r="1493" spans="187:190" s="2" customFormat="1" ht="18" customHeight="1" x14ac:dyDescent="0.2">
      <c r="GE1493" s="84"/>
      <c r="GF1493" s="84"/>
      <c r="GG1493" s="84"/>
      <c r="GH1493" s="84"/>
    </row>
    <row r="1494" spans="187:190" s="2" customFormat="1" ht="18" customHeight="1" x14ac:dyDescent="0.2">
      <c r="GE1494" s="84"/>
      <c r="GF1494" s="84"/>
      <c r="GG1494" s="84"/>
      <c r="GH1494" s="84"/>
    </row>
    <row r="1495" spans="187:190" s="2" customFormat="1" ht="18" customHeight="1" x14ac:dyDescent="0.2">
      <c r="GE1495" s="84"/>
      <c r="GF1495" s="84"/>
      <c r="GG1495" s="84"/>
      <c r="GH1495" s="84"/>
    </row>
    <row r="1496" spans="187:190" s="2" customFormat="1" ht="18" customHeight="1" x14ac:dyDescent="0.2">
      <c r="GE1496" s="84"/>
      <c r="GF1496" s="84"/>
      <c r="GG1496" s="84"/>
      <c r="GH1496" s="84"/>
    </row>
    <row r="1497" spans="187:190" s="2" customFormat="1" ht="18" customHeight="1" x14ac:dyDescent="0.2">
      <c r="GE1497" s="84"/>
      <c r="GF1497" s="84"/>
      <c r="GG1497" s="84"/>
      <c r="GH1497" s="84"/>
    </row>
    <row r="1498" spans="187:190" s="2" customFormat="1" ht="18" customHeight="1" x14ac:dyDescent="0.2">
      <c r="GE1498" s="84"/>
      <c r="GF1498" s="84"/>
      <c r="GG1498" s="84"/>
      <c r="GH1498" s="84"/>
    </row>
    <row r="1499" spans="187:190" s="2" customFormat="1" ht="18" customHeight="1" x14ac:dyDescent="0.2">
      <c r="GE1499" s="84"/>
      <c r="GF1499" s="84"/>
      <c r="GG1499" s="84"/>
      <c r="GH1499" s="84"/>
    </row>
    <row r="1500" spans="187:190" s="2" customFormat="1" ht="18" customHeight="1" x14ac:dyDescent="0.2">
      <c r="GE1500" s="84"/>
      <c r="GF1500" s="84"/>
      <c r="GG1500" s="84"/>
      <c r="GH1500" s="84"/>
    </row>
    <row r="1501" spans="187:190" s="2" customFormat="1" ht="18" customHeight="1" x14ac:dyDescent="0.2">
      <c r="GE1501" s="84"/>
      <c r="GF1501" s="84"/>
      <c r="GG1501" s="84"/>
      <c r="GH1501" s="84"/>
    </row>
    <row r="1502" spans="187:190" s="2" customFormat="1" ht="18" customHeight="1" x14ac:dyDescent="0.2">
      <c r="GE1502" s="84"/>
      <c r="GF1502" s="84"/>
      <c r="GG1502" s="84"/>
      <c r="GH1502" s="84"/>
    </row>
    <row r="1503" spans="187:190" s="2" customFormat="1" ht="18" customHeight="1" x14ac:dyDescent="0.2">
      <c r="GE1503" s="84"/>
      <c r="GF1503" s="84"/>
      <c r="GG1503" s="84"/>
      <c r="GH1503" s="84"/>
    </row>
    <row r="1504" spans="187:190" s="2" customFormat="1" ht="18" customHeight="1" x14ac:dyDescent="0.2">
      <c r="GE1504" s="84"/>
      <c r="GF1504" s="84"/>
      <c r="GG1504" s="84"/>
      <c r="GH1504" s="84"/>
    </row>
    <row r="1505" spans="187:190" s="2" customFormat="1" ht="18" customHeight="1" x14ac:dyDescent="0.2">
      <c r="GE1505" s="84"/>
      <c r="GF1505" s="84"/>
      <c r="GG1505" s="84"/>
      <c r="GH1505" s="84"/>
    </row>
    <row r="1506" spans="187:190" s="2" customFormat="1" ht="18" customHeight="1" x14ac:dyDescent="0.2">
      <c r="GE1506" s="84"/>
      <c r="GF1506" s="84"/>
      <c r="GG1506" s="84"/>
      <c r="GH1506" s="84"/>
    </row>
    <row r="1507" spans="187:190" s="2" customFormat="1" ht="18" customHeight="1" x14ac:dyDescent="0.2">
      <c r="GE1507" s="84"/>
      <c r="GF1507" s="84"/>
      <c r="GG1507" s="84"/>
      <c r="GH1507" s="84"/>
    </row>
    <row r="1508" spans="187:190" s="2" customFormat="1" ht="18" customHeight="1" x14ac:dyDescent="0.2">
      <c r="GE1508" s="84"/>
      <c r="GF1508" s="84"/>
      <c r="GG1508" s="84"/>
      <c r="GH1508" s="84"/>
    </row>
    <row r="1509" spans="187:190" s="2" customFormat="1" ht="18" customHeight="1" x14ac:dyDescent="0.2">
      <c r="GE1509" s="84"/>
      <c r="GF1509" s="84"/>
      <c r="GG1509" s="84"/>
      <c r="GH1509" s="84"/>
    </row>
    <row r="1510" spans="187:190" s="2" customFormat="1" ht="18" customHeight="1" x14ac:dyDescent="0.2">
      <c r="GE1510" s="84"/>
      <c r="GF1510" s="84"/>
      <c r="GG1510" s="84"/>
      <c r="GH1510" s="84"/>
    </row>
    <row r="1511" spans="187:190" s="2" customFormat="1" ht="18" customHeight="1" x14ac:dyDescent="0.2">
      <c r="GE1511" s="84"/>
      <c r="GF1511" s="84"/>
      <c r="GG1511" s="84"/>
      <c r="GH1511" s="84"/>
    </row>
    <row r="1512" spans="187:190" s="2" customFormat="1" ht="18" customHeight="1" x14ac:dyDescent="0.2">
      <c r="GE1512" s="84"/>
      <c r="GF1512" s="84"/>
      <c r="GG1512" s="84"/>
      <c r="GH1512" s="84"/>
    </row>
    <row r="1513" spans="187:190" s="2" customFormat="1" ht="18" customHeight="1" x14ac:dyDescent="0.2">
      <c r="GE1513" s="84"/>
      <c r="GF1513" s="84"/>
      <c r="GG1513" s="84"/>
      <c r="GH1513" s="84"/>
    </row>
    <row r="1514" spans="187:190" s="2" customFormat="1" ht="18" customHeight="1" x14ac:dyDescent="0.2">
      <c r="GE1514" s="84"/>
      <c r="GF1514" s="84"/>
      <c r="GG1514" s="84"/>
      <c r="GH1514" s="84"/>
    </row>
    <row r="1515" spans="187:190" s="2" customFormat="1" ht="18" customHeight="1" x14ac:dyDescent="0.2">
      <c r="GE1515" s="84"/>
      <c r="GF1515" s="84"/>
      <c r="GG1515" s="84"/>
      <c r="GH1515" s="84"/>
    </row>
    <row r="1516" spans="187:190" s="2" customFormat="1" ht="18" customHeight="1" x14ac:dyDescent="0.2">
      <c r="GE1516" s="84"/>
      <c r="GF1516" s="84"/>
      <c r="GG1516" s="84"/>
      <c r="GH1516" s="84"/>
    </row>
    <row r="1517" spans="187:190" s="2" customFormat="1" ht="18" customHeight="1" x14ac:dyDescent="0.2">
      <c r="GE1517" s="84"/>
      <c r="GF1517" s="84"/>
      <c r="GG1517" s="84"/>
      <c r="GH1517" s="84"/>
    </row>
    <row r="1518" spans="187:190" s="2" customFormat="1" ht="18" customHeight="1" x14ac:dyDescent="0.2">
      <c r="GE1518" s="84"/>
      <c r="GF1518" s="84"/>
      <c r="GG1518" s="84"/>
      <c r="GH1518" s="84"/>
    </row>
    <row r="1519" spans="187:190" s="2" customFormat="1" ht="18" customHeight="1" x14ac:dyDescent="0.2">
      <c r="GE1519" s="84"/>
      <c r="GF1519" s="84"/>
      <c r="GG1519" s="84"/>
      <c r="GH1519" s="84"/>
    </row>
    <row r="1520" spans="187:190" s="2" customFormat="1" ht="18" customHeight="1" x14ac:dyDescent="0.2">
      <c r="GE1520" s="84"/>
      <c r="GF1520" s="84"/>
      <c r="GG1520" s="84"/>
      <c r="GH1520" s="84"/>
    </row>
    <row r="1521" spans="187:190" s="2" customFormat="1" ht="18" customHeight="1" x14ac:dyDescent="0.2">
      <c r="GE1521" s="84"/>
      <c r="GF1521" s="84"/>
      <c r="GG1521" s="84"/>
      <c r="GH1521" s="84"/>
    </row>
    <row r="1522" spans="187:190" s="2" customFormat="1" ht="18" customHeight="1" x14ac:dyDescent="0.2">
      <c r="GE1522" s="84"/>
      <c r="GF1522" s="84"/>
      <c r="GG1522" s="84"/>
      <c r="GH1522" s="84"/>
    </row>
    <row r="1523" spans="187:190" s="2" customFormat="1" ht="18" customHeight="1" x14ac:dyDescent="0.2">
      <c r="GE1523" s="84"/>
      <c r="GF1523" s="84"/>
      <c r="GG1523" s="84"/>
      <c r="GH1523" s="84"/>
    </row>
    <row r="1524" spans="187:190" s="2" customFormat="1" ht="18" customHeight="1" x14ac:dyDescent="0.2">
      <c r="GE1524" s="84"/>
      <c r="GF1524" s="84"/>
      <c r="GG1524" s="84"/>
      <c r="GH1524" s="84"/>
    </row>
    <row r="1525" spans="187:190" s="2" customFormat="1" ht="18" customHeight="1" x14ac:dyDescent="0.2">
      <c r="GE1525" s="84"/>
      <c r="GF1525" s="84"/>
      <c r="GG1525" s="84"/>
      <c r="GH1525" s="84"/>
    </row>
    <row r="1526" spans="187:190" s="2" customFormat="1" ht="18" customHeight="1" x14ac:dyDescent="0.2">
      <c r="GE1526" s="84"/>
      <c r="GF1526" s="84"/>
      <c r="GG1526" s="84"/>
      <c r="GH1526" s="84"/>
    </row>
    <row r="1527" spans="187:190" s="2" customFormat="1" ht="18" customHeight="1" x14ac:dyDescent="0.2">
      <c r="GE1527" s="84"/>
      <c r="GF1527" s="84"/>
      <c r="GG1527" s="84"/>
      <c r="GH1527" s="84"/>
    </row>
    <row r="1528" spans="187:190" s="2" customFormat="1" ht="18" customHeight="1" x14ac:dyDescent="0.2">
      <c r="GE1528" s="84"/>
      <c r="GF1528" s="84"/>
      <c r="GG1528" s="84"/>
      <c r="GH1528" s="84"/>
    </row>
    <row r="1529" spans="187:190" s="2" customFormat="1" ht="18" customHeight="1" x14ac:dyDescent="0.2">
      <c r="GE1529" s="84"/>
      <c r="GF1529" s="84"/>
      <c r="GG1529" s="84"/>
      <c r="GH1529" s="84"/>
    </row>
    <row r="1530" spans="187:190" s="2" customFormat="1" ht="18" customHeight="1" x14ac:dyDescent="0.2">
      <c r="GE1530" s="84"/>
      <c r="GF1530" s="84"/>
      <c r="GG1530" s="84"/>
      <c r="GH1530" s="84"/>
    </row>
    <row r="1531" spans="187:190" s="2" customFormat="1" ht="18" customHeight="1" x14ac:dyDescent="0.2">
      <c r="GE1531" s="84"/>
      <c r="GF1531" s="84"/>
      <c r="GG1531" s="84"/>
      <c r="GH1531" s="84"/>
    </row>
    <row r="1532" spans="187:190" s="2" customFormat="1" ht="18" customHeight="1" x14ac:dyDescent="0.2">
      <c r="GE1532" s="84"/>
      <c r="GF1532" s="84"/>
      <c r="GG1532" s="84"/>
      <c r="GH1532" s="84"/>
    </row>
    <row r="1533" spans="187:190" s="2" customFormat="1" ht="18" customHeight="1" x14ac:dyDescent="0.2">
      <c r="GE1533" s="84"/>
      <c r="GF1533" s="84"/>
      <c r="GG1533" s="84"/>
      <c r="GH1533" s="84"/>
    </row>
    <row r="1534" spans="187:190" s="2" customFormat="1" ht="18" customHeight="1" x14ac:dyDescent="0.2">
      <c r="GE1534" s="84"/>
      <c r="GF1534" s="84"/>
      <c r="GG1534" s="84"/>
      <c r="GH1534" s="84"/>
    </row>
    <row r="1535" spans="187:190" s="2" customFormat="1" ht="18" customHeight="1" x14ac:dyDescent="0.2">
      <c r="GE1535" s="84"/>
      <c r="GF1535" s="84"/>
      <c r="GG1535" s="84"/>
      <c r="GH1535" s="84"/>
    </row>
    <row r="1536" spans="187:190" s="2" customFormat="1" ht="18" customHeight="1" x14ac:dyDescent="0.2">
      <c r="GE1536" s="84"/>
      <c r="GF1536" s="84"/>
      <c r="GG1536" s="84"/>
      <c r="GH1536" s="84"/>
    </row>
    <row r="1537" spans="187:190" s="2" customFormat="1" ht="18" customHeight="1" x14ac:dyDescent="0.2">
      <c r="GE1537" s="84"/>
      <c r="GF1537" s="84"/>
      <c r="GG1537" s="84"/>
      <c r="GH1537" s="84"/>
    </row>
    <row r="1538" spans="187:190" s="2" customFormat="1" ht="18" customHeight="1" x14ac:dyDescent="0.2">
      <c r="GE1538" s="84"/>
      <c r="GF1538" s="84"/>
      <c r="GG1538" s="84"/>
      <c r="GH1538" s="84"/>
    </row>
    <row r="1539" spans="187:190" s="2" customFormat="1" ht="18" customHeight="1" x14ac:dyDescent="0.2">
      <c r="GE1539" s="84"/>
      <c r="GF1539" s="84"/>
      <c r="GG1539" s="84"/>
      <c r="GH1539" s="84"/>
    </row>
    <row r="1540" spans="187:190" s="2" customFormat="1" ht="18" customHeight="1" x14ac:dyDescent="0.2">
      <c r="GE1540" s="84"/>
      <c r="GF1540" s="84"/>
      <c r="GG1540" s="84"/>
      <c r="GH1540" s="84"/>
    </row>
    <row r="1541" spans="187:190" s="2" customFormat="1" ht="18" customHeight="1" x14ac:dyDescent="0.2">
      <c r="GE1541" s="84"/>
      <c r="GF1541" s="84"/>
      <c r="GG1541" s="84"/>
      <c r="GH1541" s="84"/>
    </row>
    <row r="1542" spans="187:190" s="2" customFormat="1" ht="18" customHeight="1" x14ac:dyDescent="0.2">
      <c r="GE1542" s="84"/>
      <c r="GF1542" s="84"/>
      <c r="GG1542" s="84"/>
      <c r="GH1542" s="84"/>
    </row>
    <row r="1543" spans="187:190" s="2" customFormat="1" ht="18" customHeight="1" x14ac:dyDescent="0.2">
      <c r="GE1543" s="84"/>
      <c r="GF1543" s="84"/>
      <c r="GG1543" s="84"/>
      <c r="GH1543" s="84"/>
    </row>
    <row r="1544" spans="187:190" s="2" customFormat="1" ht="18" customHeight="1" x14ac:dyDescent="0.2">
      <c r="GE1544" s="84"/>
      <c r="GF1544" s="84"/>
      <c r="GG1544" s="84"/>
      <c r="GH1544" s="84"/>
    </row>
    <row r="1545" spans="187:190" s="2" customFormat="1" ht="18" customHeight="1" x14ac:dyDescent="0.2">
      <c r="GE1545" s="84"/>
      <c r="GF1545" s="84"/>
      <c r="GG1545" s="84"/>
      <c r="GH1545" s="84"/>
    </row>
    <row r="1546" spans="187:190" s="2" customFormat="1" ht="18" customHeight="1" x14ac:dyDescent="0.2">
      <c r="GE1546" s="84"/>
      <c r="GF1546" s="84"/>
      <c r="GG1546" s="84"/>
      <c r="GH1546" s="84"/>
    </row>
    <row r="1547" spans="187:190" s="2" customFormat="1" ht="18" customHeight="1" x14ac:dyDescent="0.2">
      <c r="GE1547" s="84"/>
      <c r="GF1547" s="84"/>
      <c r="GG1547" s="84"/>
      <c r="GH1547" s="84"/>
    </row>
    <row r="1548" spans="187:190" s="2" customFormat="1" ht="18" customHeight="1" x14ac:dyDescent="0.2">
      <c r="GE1548" s="84"/>
      <c r="GF1548" s="84"/>
      <c r="GG1548" s="84"/>
      <c r="GH1548" s="84"/>
    </row>
    <row r="1549" spans="187:190" s="2" customFormat="1" ht="18" customHeight="1" x14ac:dyDescent="0.2">
      <c r="GE1549" s="84"/>
      <c r="GF1549" s="84"/>
      <c r="GG1549" s="84"/>
      <c r="GH1549" s="84"/>
    </row>
    <row r="1550" spans="187:190" s="2" customFormat="1" ht="18" customHeight="1" x14ac:dyDescent="0.2">
      <c r="GE1550" s="84"/>
      <c r="GF1550" s="84"/>
      <c r="GG1550" s="84"/>
      <c r="GH1550" s="84"/>
    </row>
    <row r="1551" spans="187:190" s="2" customFormat="1" ht="18" customHeight="1" x14ac:dyDescent="0.2">
      <c r="GE1551" s="84"/>
      <c r="GF1551" s="84"/>
      <c r="GG1551" s="84"/>
      <c r="GH1551" s="84"/>
    </row>
    <row r="1552" spans="187:190" s="2" customFormat="1" ht="18" customHeight="1" x14ac:dyDescent="0.2">
      <c r="GE1552" s="84"/>
      <c r="GF1552" s="84"/>
      <c r="GG1552" s="84"/>
      <c r="GH1552" s="84"/>
    </row>
    <row r="1553" spans="187:190" s="2" customFormat="1" ht="18" customHeight="1" x14ac:dyDescent="0.2">
      <c r="GE1553" s="84"/>
      <c r="GF1553" s="84"/>
      <c r="GG1553" s="84"/>
      <c r="GH1553" s="84"/>
    </row>
    <row r="1554" spans="187:190" s="2" customFormat="1" ht="18" customHeight="1" x14ac:dyDescent="0.2">
      <c r="GE1554" s="84"/>
      <c r="GF1554" s="84"/>
      <c r="GG1554" s="84"/>
      <c r="GH1554" s="84"/>
    </row>
    <row r="1555" spans="187:190" s="2" customFormat="1" ht="18" customHeight="1" x14ac:dyDescent="0.2">
      <c r="GE1555" s="84"/>
      <c r="GF1555" s="84"/>
      <c r="GG1555" s="84"/>
      <c r="GH1555" s="84"/>
    </row>
    <row r="1556" spans="187:190" s="2" customFormat="1" ht="18" customHeight="1" x14ac:dyDescent="0.2">
      <c r="GE1556" s="84"/>
      <c r="GF1556" s="84"/>
      <c r="GG1556" s="84"/>
      <c r="GH1556" s="84"/>
    </row>
    <row r="1557" spans="187:190" s="2" customFormat="1" ht="18" customHeight="1" x14ac:dyDescent="0.2">
      <c r="GE1557" s="84"/>
      <c r="GF1557" s="84"/>
      <c r="GG1557" s="84"/>
      <c r="GH1557" s="84"/>
    </row>
    <row r="1558" spans="187:190" s="2" customFormat="1" ht="18" customHeight="1" x14ac:dyDescent="0.2">
      <c r="GE1558" s="84"/>
      <c r="GF1558" s="84"/>
      <c r="GG1558" s="84"/>
      <c r="GH1558" s="84"/>
    </row>
    <row r="1559" spans="187:190" s="2" customFormat="1" ht="18" customHeight="1" x14ac:dyDescent="0.2">
      <c r="GE1559" s="84"/>
      <c r="GF1559" s="84"/>
      <c r="GG1559" s="84"/>
      <c r="GH1559" s="84"/>
    </row>
    <row r="1560" spans="187:190" s="2" customFormat="1" ht="18" customHeight="1" x14ac:dyDescent="0.2">
      <c r="GE1560" s="84"/>
      <c r="GF1560" s="84"/>
      <c r="GG1560" s="84"/>
      <c r="GH1560" s="84"/>
    </row>
    <row r="1561" spans="187:190" s="2" customFormat="1" ht="18" customHeight="1" x14ac:dyDescent="0.2">
      <c r="GE1561" s="84"/>
      <c r="GF1561" s="84"/>
      <c r="GG1561" s="84"/>
      <c r="GH1561" s="84"/>
    </row>
    <row r="1562" spans="187:190" s="2" customFormat="1" ht="18" customHeight="1" x14ac:dyDescent="0.2">
      <c r="GE1562" s="84"/>
      <c r="GF1562" s="84"/>
      <c r="GG1562" s="84"/>
      <c r="GH1562" s="84"/>
    </row>
    <row r="1563" spans="187:190" s="2" customFormat="1" ht="18" customHeight="1" x14ac:dyDescent="0.2">
      <c r="GE1563" s="84"/>
      <c r="GF1563" s="84"/>
      <c r="GG1563" s="84"/>
      <c r="GH1563" s="84"/>
    </row>
    <row r="1564" spans="187:190" s="2" customFormat="1" ht="18" customHeight="1" x14ac:dyDescent="0.2">
      <c r="GE1564" s="84"/>
      <c r="GF1564" s="84"/>
      <c r="GG1564" s="84"/>
      <c r="GH1564" s="84"/>
    </row>
    <row r="1565" spans="187:190" s="2" customFormat="1" ht="18" customHeight="1" x14ac:dyDescent="0.2">
      <c r="GE1565" s="84"/>
      <c r="GF1565" s="84"/>
      <c r="GG1565" s="84"/>
      <c r="GH1565" s="84"/>
    </row>
    <row r="1566" spans="187:190" s="2" customFormat="1" ht="18" customHeight="1" x14ac:dyDescent="0.2">
      <c r="GE1566" s="84"/>
      <c r="GF1566" s="84"/>
      <c r="GG1566" s="84"/>
      <c r="GH1566" s="84"/>
    </row>
    <row r="1567" spans="187:190" s="2" customFormat="1" ht="18" customHeight="1" x14ac:dyDescent="0.2">
      <c r="GE1567" s="84"/>
      <c r="GF1567" s="84"/>
      <c r="GG1567" s="84"/>
      <c r="GH1567" s="84"/>
    </row>
    <row r="1568" spans="187:190" s="2" customFormat="1" ht="18" customHeight="1" x14ac:dyDescent="0.2">
      <c r="GE1568" s="84"/>
      <c r="GF1568" s="84"/>
      <c r="GG1568" s="84"/>
      <c r="GH1568" s="84"/>
    </row>
    <row r="1569" spans="187:190" s="2" customFormat="1" ht="18" customHeight="1" x14ac:dyDescent="0.2">
      <c r="GE1569" s="84"/>
      <c r="GF1569" s="84"/>
      <c r="GG1569" s="84"/>
      <c r="GH1569" s="84"/>
    </row>
    <row r="1570" spans="187:190" s="2" customFormat="1" ht="18" customHeight="1" x14ac:dyDescent="0.2">
      <c r="GE1570" s="84"/>
      <c r="GF1570" s="84"/>
      <c r="GG1570" s="84"/>
      <c r="GH1570" s="84"/>
    </row>
    <row r="1571" spans="187:190" s="2" customFormat="1" ht="18" customHeight="1" x14ac:dyDescent="0.2">
      <c r="GE1571" s="84"/>
      <c r="GF1571" s="84"/>
      <c r="GG1571" s="84"/>
      <c r="GH1571" s="84"/>
    </row>
    <row r="1572" spans="187:190" s="2" customFormat="1" ht="18" customHeight="1" x14ac:dyDescent="0.2">
      <c r="GE1572" s="84"/>
      <c r="GF1572" s="84"/>
      <c r="GG1572" s="84"/>
      <c r="GH1572" s="84"/>
    </row>
    <row r="1573" spans="187:190" s="2" customFormat="1" ht="18" customHeight="1" x14ac:dyDescent="0.2">
      <c r="GE1573" s="84"/>
      <c r="GF1573" s="84"/>
      <c r="GG1573" s="84"/>
      <c r="GH1573" s="84"/>
    </row>
    <row r="1574" spans="187:190" s="2" customFormat="1" ht="18" customHeight="1" x14ac:dyDescent="0.2">
      <c r="GE1574" s="84"/>
      <c r="GF1574" s="84"/>
      <c r="GG1574" s="84"/>
      <c r="GH1574" s="84"/>
    </row>
    <row r="1575" spans="187:190" s="2" customFormat="1" ht="18" customHeight="1" x14ac:dyDescent="0.2">
      <c r="GE1575" s="84"/>
      <c r="GF1575" s="84"/>
      <c r="GG1575" s="84"/>
      <c r="GH1575" s="84"/>
    </row>
    <row r="1576" spans="187:190" s="2" customFormat="1" ht="18" customHeight="1" x14ac:dyDescent="0.2">
      <c r="GE1576" s="84"/>
      <c r="GF1576" s="84"/>
      <c r="GG1576" s="84"/>
      <c r="GH1576" s="84"/>
    </row>
    <row r="1577" spans="187:190" s="2" customFormat="1" ht="18" customHeight="1" x14ac:dyDescent="0.2">
      <c r="GE1577" s="84"/>
      <c r="GF1577" s="84"/>
      <c r="GG1577" s="84"/>
      <c r="GH1577" s="84"/>
    </row>
    <row r="1578" spans="187:190" s="2" customFormat="1" ht="18" customHeight="1" x14ac:dyDescent="0.2">
      <c r="GE1578" s="84"/>
      <c r="GF1578" s="84"/>
      <c r="GG1578" s="84"/>
      <c r="GH1578" s="84"/>
    </row>
    <row r="1579" spans="187:190" s="2" customFormat="1" ht="18" customHeight="1" x14ac:dyDescent="0.2">
      <c r="GE1579" s="84"/>
      <c r="GF1579" s="84"/>
      <c r="GG1579" s="84"/>
      <c r="GH1579" s="84"/>
    </row>
    <row r="1580" spans="187:190" s="2" customFormat="1" ht="18" customHeight="1" x14ac:dyDescent="0.2">
      <c r="GE1580" s="84"/>
      <c r="GF1580" s="84"/>
      <c r="GG1580" s="84"/>
      <c r="GH1580" s="84"/>
    </row>
    <row r="1581" spans="187:190" s="2" customFormat="1" ht="18" customHeight="1" x14ac:dyDescent="0.2">
      <c r="GE1581" s="84"/>
      <c r="GF1581" s="84"/>
      <c r="GG1581" s="84"/>
      <c r="GH1581" s="84"/>
    </row>
    <row r="1582" spans="187:190" s="2" customFormat="1" ht="18" customHeight="1" x14ac:dyDescent="0.2">
      <c r="GE1582" s="84"/>
      <c r="GF1582" s="84"/>
      <c r="GG1582" s="84"/>
      <c r="GH1582" s="84"/>
    </row>
    <row r="1583" spans="187:190" s="2" customFormat="1" ht="18" customHeight="1" x14ac:dyDescent="0.2">
      <c r="GE1583" s="84"/>
      <c r="GF1583" s="84"/>
      <c r="GG1583" s="84"/>
      <c r="GH1583" s="84"/>
    </row>
    <row r="1584" spans="187:190" s="2" customFormat="1" ht="18" customHeight="1" x14ac:dyDescent="0.2">
      <c r="GE1584" s="84"/>
      <c r="GF1584" s="84"/>
      <c r="GG1584" s="84"/>
      <c r="GH1584" s="84"/>
    </row>
    <row r="1585" spans="187:190" s="2" customFormat="1" ht="18" customHeight="1" x14ac:dyDescent="0.2">
      <c r="GE1585" s="84"/>
      <c r="GF1585" s="84"/>
      <c r="GG1585" s="84"/>
      <c r="GH1585" s="84"/>
    </row>
    <row r="1586" spans="187:190" s="2" customFormat="1" ht="18" customHeight="1" x14ac:dyDescent="0.2">
      <c r="GE1586" s="84"/>
      <c r="GF1586" s="84"/>
      <c r="GG1586" s="84"/>
      <c r="GH1586" s="84"/>
    </row>
    <row r="1587" spans="187:190" s="2" customFormat="1" ht="18" customHeight="1" x14ac:dyDescent="0.2">
      <c r="GE1587" s="84"/>
      <c r="GF1587" s="84"/>
      <c r="GG1587" s="84"/>
      <c r="GH1587" s="84"/>
    </row>
    <row r="1588" spans="187:190" s="2" customFormat="1" ht="18" customHeight="1" x14ac:dyDescent="0.2">
      <c r="GE1588" s="84"/>
      <c r="GF1588" s="84"/>
      <c r="GG1588" s="84"/>
      <c r="GH1588" s="84"/>
    </row>
    <row r="1589" spans="187:190" s="2" customFormat="1" ht="18" customHeight="1" x14ac:dyDescent="0.2">
      <c r="GE1589" s="84"/>
      <c r="GF1589" s="84"/>
      <c r="GG1589" s="84"/>
      <c r="GH1589" s="84"/>
    </row>
    <row r="1590" spans="187:190" s="2" customFormat="1" ht="18" customHeight="1" x14ac:dyDescent="0.2">
      <c r="GE1590" s="84"/>
      <c r="GF1590" s="84"/>
      <c r="GG1590" s="84"/>
      <c r="GH1590" s="84"/>
    </row>
    <row r="1591" spans="187:190" s="2" customFormat="1" ht="18" customHeight="1" x14ac:dyDescent="0.2">
      <c r="GE1591" s="84"/>
      <c r="GF1591" s="84"/>
      <c r="GG1591" s="84"/>
      <c r="GH1591" s="84"/>
    </row>
    <row r="1592" spans="187:190" s="2" customFormat="1" ht="18" customHeight="1" x14ac:dyDescent="0.2">
      <c r="GE1592" s="84"/>
      <c r="GF1592" s="84"/>
      <c r="GG1592" s="84"/>
      <c r="GH1592" s="84"/>
    </row>
    <row r="1593" spans="187:190" s="2" customFormat="1" ht="18" customHeight="1" x14ac:dyDescent="0.2">
      <c r="GE1593" s="84"/>
      <c r="GF1593" s="84"/>
      <c r="GG1593" s="84"/>
      <c r="GH1593" s="84"/>
    </row>
    <row r="1594" spans="187:190" s="2" customFormat="1" ht="18" customHeight="1" x14ac:dyDescent="0.2">
      <c r="GE1594" s="84"/>
      <c r="GF1594" s="84"/>
      <c r="GG1594" s="84"/>
      <c r="GH1594" s="84"/>
    </row>
    <row r="1595" spans="187:190" s="2" customFormat="1" ht="18" customHeight="1" x14ac:dyDescent="0.2">
      <c r="GE1595" s="84"/>
      <c r="GF1595" s="84"/>
      <c r="GG1595" s="84"/>
      <c r="GH1595" s="84"/>
    </row>
    <row r="1596" spans="187:190" s="2" customFormat="1" ht="18" customHeight="1" x14ac:dyDescent="0.2">
      <c r="GE1596" s="84"/>
      <c r="GF1596" s="84"/>
      <c r="GG1596" s="84"/>
      <c r="GH1596" s="84"/>
    </row>
    <row r="1597" spans="187:190" s="2" customFormat="1" ht="18" customHeight="1" x14ac:dyDescent="0.2">
      <c r="GE1597" s="84"/>
      <c r="GF1597" s="84"/>
      <c r="GG1597" s="84"/>
      <c r="GH1597" s="84"/>
    </row>
    <row r="1598" spans="187:190" s="2" customFormat="1" ht="18" customHeight="1" x14ac:dyDescent="0.2">
      <c r="GE1598" s="84"/>
      <c r="GF1598" s="84"/>
      <c r="GG1598" s="84"/>
      <c r="GH1598" s="84"/>
    </row>
    <row r="1599" spans="187:190" s="2" customFormat="1" ht="18" customHeight="1" x14ac:dyDescent="0.2">
      <c r="GE1599" s="84"/>
      <c r="GF1599" s="84"/>
      <c r="GG1599" s="84"/>
      <c r="GH1599" s="84"/>
    </row>
    <row r="1600" spans="187:190" s="2" customFormat="1" ht="18" customHeight="1" x14ac:dyDescent="0.2">
      <c r="GE1600" s="84"/>
      <c r="GF1600" s="84"/>
      <c r="GG1600" s="84"/>
      <c r="GH1600" s="84"/>
    </row>
    <row r="1601" spans="187:190" s="2" customFormat="1" ht="18" customHeight="1" x14ac:dyDescent="0.2">
      <c r="GE1601" s="84"/>
      <c r="GF1601" s="84"/>
      <c r="GG1601" s="84"/>
      <c r="GH1601" s="84"/>
    </row>
    <row r="1602" spans="187:190" s="2" customFormat="1" ht="18" customHeight="1" x14ac:dyDescent="0.2">
      <c r="GE1602" s="84"/>
      <c r="GF1602" s="84"/>
      <c r="GG1602" s="84"/>
      <c r="GH1602" s="84"/>
    </row>
    <row r="1603" spans="187:190" s="2" customFormat="1" ht="18" customHeight="1" x14ac:dyDescent="0.2">
      <c r="GE1603" s="84"/>
      <c r="GF1603" s="84"/>
      <c r="GG1603" s="84"/>
      <c r="GH1603" s="84"/>
    </row>
    <row r="1604" spans="187:190" s="2" customFormat="1" ht="18" customHeight="1" x14ac:dyDescent="0.2">
      <c r="GE1604" s="84"/>
      <c r="GF1604" s="84"/>
      <c r="GG1604" s="84"/>
      <c r="GH1604" s="84"/>
    </row>
    <row r="1605" spans="187:190" s="2" customFormat="1" ht="18" customHeight="1" x14ac:dyDescent="0.2">
      <c r="GE1605" s="84"/>
      <c r="GF1605" s="84"/>
      <c r="GG1605" s="84"/>
      <c r="GH1605" s="84"/>
    </row>
    <row r="1606" spans="187:190" s="2" customFormat="1" ht="18" customHeight="1" x14ac:dyDescent="0.2">
      <c r="GE1606" s="84"/>
      <c r="GF1606" s="84"/>
      <c r="GG1606" s="84"/>
      <c r="GH1606" s="84"/>
    </row>
    <row r="1607" spans="187:190" s="2" customFormat="1" ht="18" customHeight="1" x14ac:dyDescent="0.2">
      <c r="GE1607" s="84"/>
      <c r="GF1607" s="84"/>
      <c r="GG1607" s="84"/>
      <c r="GH1607" s="84"/>
    </row>
    <row r="1608" spans="187:190" s="2" customFormat="1" ht="18" customHeight="1" x14ac:dyDescent="0.2">
      <c r="GE1608" s="84"/>
      <c r="GF1608" s="84"/>
      <c r="GG1608" s="84"/>
      <c r="GH1608" s="84"/>
    </row>
    <row r="1609" spans="187:190" s="2" customFormat="1" ht="18" customHeight="1" x14ac:dyDescent="0.2">
      <c r="GE1609" s="84"/>
      <c r="GF1609" s="84"/>
      <c r="GG1609" s="84"/>
      <c r="GH1609" s="84"/>
    </row>
    <row r="1610" spans="187:190" s="2" customFormat="1" ht="18" customHeight="1" x14ac:dyDescent="0.2">
      <c r="GE1610" s="84"/>
      <c r="GF1610" s="84"/>
      <c r="GG1610" s="84"/>
      <c r="GH1610" s="84"/>
    </row>
    <row r="1611" spans="187:190" s="2" customFormat="1" ht="18" customHeight="1" x14ac:dyDescent="0.2">
      <c r="GE1611" s="84"/>
      <c r="GF1611" s="84"/>
      <c r="GG1611" s="84"/>
      <c r="GH1611" s="84"/>
    </row>
    <row r="1612" spans="187:190" s="2" customFormat="1" ht="18" customHeight="1" x14ac:dyDescent="0.2">
      <c r="GE1612" s="84"/>
      <c r="GF1612" s="84"/>
      <c r="GG1612" s="84"/>
      <c r="GH1612" s="84"/>
    </row>
    <row r="1613" spans="187:190" s="2" customFormat="1" ht="18" customHeight="1" x14ac:dyDescent="0.2">
      <c r="GE1613" s="84"/>
      <c r="GF1613" s="84"/>
      <c r="GG1613" s="84"/>
      <c r="GH1613" s="84"/>
    </row>
    <row r="1614" spans="187:190" s="2" customFormat="1" ht="18" customHeight="1" x14ac:dyDescent="0.2">
      <c r="GE1614" s="84"/>
      <c r="GF1614" s="84"/>
      <c r="GG1614" s="84"/>
      <c r="GH1614" s="84"/>
    </row>
    <row r="1615" spans="187:190" s="2" customFormat="1" ht="18" customHeight="1" x14ac:dyDescent="0.2">
      <c r="GE1615" s="84"/>
      <c r="GF1615" s="84"/>
      <c r="GG1615" s="84"/>
      <c r="GH1615" s="84"/>
    </row>
    <row r="1616" spans="187:190" s="2" customFormat="1" ht="18" customHeight="1" x14ac:dyDescent="0.2">
      <c r="GE1616" s="84"/>
      <c r="GF1616" s="84"/>
      <c r="GG1616" s="84"/>
      <c r="GH1616" s="84"/>
    </row>
    <row r="1617" spans="187:190" s="2" customFormat="1" ht="18" customHeight="1" x14ac:dyDescent="0.2">
      <c r="GE1617" s="84"/>
      <c r="GF1617" s="84"/>
      <c r="GG1617" s="84"/>
      <c r="GH1617" s="84"/>
    </row>
    <row r="1618" spans="187:190" s="2" customFormat="1" ht="18" customHeight="1" x14ac:dyDescent="0.2">
      <c r="GE1618" s="84"/>
      <c r="GF1618" s="84"/>
      <c r="GG1618" s="84"/>
      <c r="GH1618" s="84"/>
    </row>
    <row r="1619" spans="187:190" s="2" customFormat="1" ht="18" customHeight="1" x14ac:dyDescent="0.2">
      <c r="GE1619" s="84"/>
      <c r="GF1619" s="84"/>
      <c r="GG1619" s="84"/>
      <c r="GH1619" s="84"/>
    </row>
    <row r="1620" spans="187:190" s="2" customFormat="1" ht="18" customHeight="1" x14ac:dyDescent="0.2">
      <c r="GE1620" s="84"/>
      <c r="GF1620" s="84"/>
      <c r="GG1620" s="84"/>
      <c r="GH1620" s="84"/>
    </row>
    <row r="1621" spans="187:190" s="2" customFormat="1" ht="18" customHeight="1" x14ac:dyDescent="0.2">
      <c r="GE1621" s="84"/>
      <c r="GF1621" s="84"/>
      <c r="GG1621" s="84"/>
      <c r="GH1621" s="84"/>
    </row>
    <row r="1622" spans="187:190" s="2" customFormat="1" ht="18" customHeight="1" x14ac:dyDescent="0.2">
      <c r="GE1622" s="84"/>
      <c r="GF1622" s="84"/>
      <c r="GG1622" s="84"/>
      <c r="GH1622" s="84"/>
    </row>
    <row r="1623" spans="187:190" s="2" customFormat="1" ht="18" customHeight="1" x14ac:dyDescent="0.2">
      <c r="GE1623" s="84"/>
      <c r="GF1623" s="84"/>
      <c r="GG1623" s="84"/>
      <c r="GH1623" s="84"/>
    </row>
    <row r="1624" spans="187:190" s="2" customFormat="1" ht="18" customHeight="1" x14ac:dyDescent="0.2">
      <c r="GE1624" s="84"/>
      <c r="GF1624" s="84"/>
      <c r="GG1624" s="84"/>
      <c r="GH1624" s="84"/>
    </row>
    <row r="1625" spans="187:190" s="2" customFormat="1" ht="18" customHeight="1" x14ac:dyDescent="0.2">
      <c r="GE1625" s="84"/>
      <c r="GF1625" s="84"/>
      <c r="GG1625" s="84"/>
      <c r="GH1625" s="84"/>
    </row>
    <row r="1626" spans="187:190" s="2" customFormat="1" ht="18" customHeight="1" x14ac:dyDescent="0.2">
      <c r="GE1626" s="84"/>
      <c r="GF1626" s="84"/>
      <c r="GG1626" s="84"/>
      <c r="GH1626" s="84"/>
    </row>
    <row r="1627" spans="187:190" s="2" customFormat="1" ht="18" customHeight="1" x14ac:dyDescent="0.2">
      <c r="GE1627" s="84"/>
      <c r="GF1627" s="84"/>
      <c r="GG1627" s="84"/>
      <c r="GH1627" s="84"/>
    </row>
    <row r="1628" spans="187:190" s="2" customFormat="1" ht="18" customHeight="1" x14ac:dyDescent="0.2">
      <c r="GE1628" s="84"/>
      <c r="GF1628" s="84"/>
      <c r="GG1628" s="84"/>
      <c r="GH1628" s="84"/>
    </row>
    <row r="1629" spans="187:190" s="2" customFormat="1" ht="18" customHeight="1" x14ac:dyDescent="0.2">
      <c r="GE1629" s="84"/>
      <c r="GF1629" s="84"/>
      <c r="GG1629" s="84"/>
      <c r="GH1629" s="84"/>
    </row>
    <row r="1630" spans="187:190" s="2" customFormat="1" ht="18" customHeight="1" x14ac:dyDescent="0.2">
      <c r="GE1630" s="84"/>
      <c r="GF1630" s="84"/>
      <c r="GG1630" s="84"/>
      <c r="GH1630" s="84"/>
    </row>
    <row r="1631" spans="187:190" s="2" customFormat="1" ht="18" customHeight="1" x14ac:dyDescent="0.2">
      <c r="GE1631" s="84"/>
      <c r="GF1631" s="84"/>
      <c r="GG1631" s="84"/>
      <c r="GH1631" s="84"/>
    </row>
    <row r="1632" spans="187:190" s="2" customFormat="1" ht="18" customHeight="1" x14ac:dyDescent="0.2">
      <c r="GE1632" s="84"/>
      <c r="GF1632" s="84"/>
      <c r="GG1632" s="84"/>
      <c r="GH1632" s="84"/>
    </row>
    <row r="1633" spans="187:190" s="2" customFormat="1" ht="18" customHeight="1" x14ac:dyDescent="0.2">
      <c r="GE1633" s="84"/>
      <c r="GF1633" s="84"/>
      <c r="GG1633" s="84"/>
      <c r="GH1633" s="84"/>
    </row>
    <row r="1634" spans="187:190" s="2" customFormat="1" ht="18" customHeight="1" x14ac:dyDescent="0.2">
      <c r="GE1634" s="84"/>
      <c r="GF1634" s="84"/>
      <c r="GG1634" s="84"/>
      <c r="GH1634" s="84"/>
    </row>
    <row r="1635" spans="187:190" s="2" customFormat="1" ht="18" customHeight="1" x14ac:dyDescent="0.2">
      <c r="GE1635" s="84"/>
      <c r="GF1635" s="84"/>
      <c r="GG1635" s="84"/>
      <c r="GH1635" s="84"/>
    </row>
    <row r="1636" spans="187:190" s="2" customFormat="1" ht="18" customHeight="1" x14ac:dyDescent="0.2">
      <c r="GE1636" s="84"/>
      <c r="GF1636" s="84"/>
      <c r="GG1636" s="84"/>
      <c r="GH1636" s="84"/>
    </row>
    <row r="1637" spans="187:190" s="2" customFormat="1" ht="18" customHeight="1" x14ac:dyDescent="0.2">
      <c r="GE1637" s="84"/>
      <c r="GF1637" s="84"/>
      <c r="GG1637" s="84"/>
      <c r="GH1637" s="84"/>
    </row>
    <row r="1638" spans="187:190" s="2" customFormat="1" ht="18" customHeight="1" x14ac:dyDescent="0.2">
      <c r="GE1638" s="84"/>
      <c r="GF1638" s="84"/>
      <c r="GG1638" s="84"/>
      <c r="GH1638" s="84"/>
    </row>
    <row r="1639" spans="187:190" s="2" customFormat="1" ht="18" customHeight="1" x14ac:dyDescent="0.2">
      <c r="GE1639" s="84"/>
      <c r="GF1639" s="84"/>
      <c r="GG1639" s="84"/>
      <c r="GH1639" s="84"/>
    </row>
    <row r="1640" spans="187:190" s="2" customFormat="1" ht="18" customHeight="1" x14ac:dyDescent="0.2">
      <c r="GE1640" s="84"/>
      <c r="GF1640" s="84"/>
      <c r="GG1640" s="84"/>
      <c r="GH1640" s="84"/>
    </row>
    <row r="1641" spans="187:190" s="2" customFormat="1" ht="18" customHeight="1" x14ac:dyDescent="0.2">
      <c r="GE1641" s="84"/>
      <c r="GF1641" s="84"/>
      <c r="GG1641" s="84"/>
      <c r="GH1641" s="84"/>
    </row>
    <row r="1642" spans="187:190" s="2" customFormat="1" ht="18" customHeight="1" x14ac:dyDescent="0.2">
      <c r="GE1642" s="84"/>
      <c r="GF1642" s="84"/>
      <c r="GG1642" s="84"/>
      <c r="GH1642" s="84"/>
    </row>
    <row r="1643" spans="187:190" s="2" customFormat="1" ht="18" customHeight="1" x14ac:dyDescent="0.2">
      <c r="GE1643" s="84"/>
      <c r="GF1643" s="84"/>
      <c r="GG1643" s="84"/>
      <c r="GH1643" s="84"/>
    </row>
    <row r="1644" spans="187:190" s="2" customFormat="1" ht="18" customHeight="1" x14ac:dyDescent="0.2">
      <c r="GE1644" s="84"/>
      <c r="GF1644" s="84"/>
      <c r="GG1644" s="84"/>
      <c r="GH1644" s="84"/>
    </row>
    <row r="1645" spans="187:190" s="2" customFormat="1" ht="18" customHeight="1" x14ac:dyDescent="0.2">
      <c r="GE1645" s="84"/>
      <c r="GF1645" s="84"/>
      <c r="GG1645" s="84"/>
      <c r="GH1645" s="84"/>
    </row>
    <row r="1646" spans="187:190" s="2" customFormat="1" ht="18" customHeight="1" x14ac:dyDescent="0.2">
      <c r="GE1646" s="84"/>
      <c r="GF1646" s="84"/>
      <c r="GG1646" s="84"/>
      <c r="GH1646" s="84"/>
    </row>
    <row r="1647" spans="187:190" s="2" customFormat="1" ht="18" customHeight="1" x14ac:dyDescent="0.2">
      <c r="GE1647" s="84"/>
      <c r="GF1647" s="84"/>
      <c r="GG1647" s="84"/>
      <c r="GH1647" s="84"/>
    </row>
    <row r="1648" spans="187:190" s="2" customFormat="1" ht="18" customHeight="1" x14ac:dyDescent="0.2">
      <c r="GE1648" s="84"/>
      <c r="GF1648" s="84"/>
      <c r="GG1648" s="84"/>
      <c r="GH1648" s="84"/>
    </row>
    <row r="1649" spans="187:190" s="2" customFormat="1" ht="18" customHeight="1" x14ac:dyDescent="0.2">
      <c r="GE1649" s="84"/>
      <c r="GF1649" s="84"/>
      <c r="GG1649" s="84"/>
      <c r="GH1649" s="84"/>
    </row>
    <row r="1650" spans="187:190" s="2" customFormat="1" ht="18" customHeight="1" x14ac:dyDescent="0.2">
      <c r="GE1650" s="84"/>
      <c r="GF1650" s="84"/>
      <c r="GG1650" s="84"/>
      <c r="GH1650" s="84"/>
    </row>
    <row r="1651" spans="187:190" s="2" customFormat="1" ht="18" customHeight="1" x14ac:dyDescent="0.2">
      <c r="GE1651" s="84"/>
      <c r="GF1651" s="84"/>
      <c r="GG1651" s="84"/>
      <c r="GH1651" s="84"/>
    </row>
    <row r="1652" spans="187:190" s="2" customFormat="1" ht="18" customHeight="1" x14ac:dyDescent="0.2">
      <c r="GE1652" s="84"/>
      <c r="GF1652" s="84"/>
      <c r="GG1652" s="84"/>
      <c r="GH1652" s="84"/>
    </row>
    <row r="1653" spans="187:190" s="2" customFormat="1" ht="18" customHeight="1" x14ac:dyDescent="0.2">
      <c r="GE1653" s="84"/>
      <c r="GF1653" s="84"/>
      <c r="GG1653" s="84"/>
      <c r="GH1653" s="84"/>
    </row>
    <row r="1654" spans="187:190" s="2" customFormat="1" ht="18" customHeight="1" x14ac:dyDescent="0.2">
      <c r="GE1654" s="84"/>
      <c r="GF1654" s="84"/>
      <c r="GG1654" s="84"/>
      <c r="GH1654" s="84"/>
    </row>
    <row r="1655" spans="187:190" s="2" customFormat="1" ht="18" customHeight="1" x14ac:dyDescent="0.2">
      <c r="GE1655" s="84"/>
      <c r="GF1655" s="84"/>
      <c r="GG1655" s="84"/>
      <c r="GH1655" s="84"/>
    </row>
    <row r="1656" spans="187:190" s="2" customFormat="1" ht="18" customHeight="1" x14ac:dyDescent="0.2">
      <c r="GE1656" s="84"/>
      <c r="GF1656" s="84"/>
      <c r="GG1656" s="84"/>
      <c r="GH1656" s="84"/>
    </row>
    <row r="1657" spans="187:190" s="2" customFormat="1" ht="18" customHeight="1" x14ac:dyDescent="0.2">
      <c r="GE1657" s="84"/>
      <c r="GF1657" s="84"/>
      <c r="GG1657" s="84"/>
      <c r="GH1657" s="84"/>
    </row>
    <row r="1658" spans="187:190" s="2" customFormat="1" ht="18" customHeight="1" x14ac:dyDescent="0.2">
      <c r="GE1658" s="84"/>
      <c r="GF1658" s="84"/>
      <c r="GG1658" s="84"/>
      <c r="GH1658" s="84"/>
    </row>
    <row r="1659" spans="187:190" s="2" customFormat="1" ht="18" customHeight="1" x14ac:dyDescent="0.2">
      <c r="GE1659" s="84"/>
      <c r="GF1659" s="84"/>
      <c r="GG1659" s="84"/>
      <c r="GH1659" s="84"/>
    </row>
    <row r="1660" spans="187:190" s="2" customFormat="1" ht="18" customHeight="1" x14ac:dyDescent="0.2">
      <c r="GE1660" s="84"/>
      <c r="GF1660" s="84"/>
      <c r="GG1660" s="84"/>
      <c r="GH1660" s="84"/>
    </row>
    <row r="1661" spans="187:190" s="2" customFormat="1" ht="18" customHeight="1" x14ac:dyDescent="0.2">
      <c r="GE1661" s="84"/>
      <c r="GF1661" s="84"/>
      <c r="GG1661" s="84"/>
      <c r="GH1661" s="84"/>
    </row>
    <row r="1662" spans="187:190" s="2" customFormat="1" ht="18" customHeight="1" x14ac:dyDescent="0.2">
      <c r="GE1662" s="84"/>
      <c r="GF1662" s="84"/>
      <c r="GG1662" s="84"/>
      <c r="GH1662" s="84"/>
    </row>
    <row r="1663" spans="187:190" s="2" customFormat="1" ht="18" customHeight="1" x14ac:dyDescent="0.2">
      <c r="GE1663" s="84"/>
      <c r="GF1663" s="84"/>
      <c r="GG1663" s="84"/>
      <c r="GH1663" s="84"/>
    </row>
    <row r="1664" spans="187:190" s="2" customFormat="1" ht="18" customHeight="1" x14ac:dyDescent="0.2">
      <c r="GE1664" s="84"/>
      <c r="GF1664" s="84"/>
      <c r="GG1664" s="84"/>
      <c r="GH1664" s="84"/>
    </row>
    <row r="1665" spans="187:190" s="2" customFormat="1" ht="18" customHeight="1" x14ac:dyDescent="0.2">
      <c r="GE1665" s="84"/>
      <c r="GF1665" s="84"/>
      <c r="GG1665" s="84"/>
      <c r="GH1665" s="84"/>
    </row>
    <row r="1666" spans="187:190" s="2" customFormat="1" ht="18" customHeight="1" x14ac:dyDescent="0.2">
      <c r="GE1666" s="84"/>
      <c r="GF1666" s="84"/>
      <c r="GG1666" s="84"/>
      <c r="GH1666" s="84"/>
    </row>
    <row r="1667" spans="187:190" s="2" customFormat="1" ht="18" customHeight="1" x14ac:dyDescent="0.2">
      <c r="GE1667" s="84"/>
      <c r="GF1667" s="84"/>
      <c r="GG1667" s="84"/>
      <c r="GH1667" s="84"/>
    </row>
    <row r="1668" spans="187:190" s="2" customFormat="1" ht="18" customHeight="1" x14ac:dyDescent="0.2">
      <c r="GE1668" s="84"/>
      <c r="GF1668" s="84"/>
      <c r="GG1668" s="84"/>
      <c r="GH1668" s="84"/>
    </row>
    <row r="1669" spans="187:190" s="2" customFormat="1" ht="18" customHeight="1" x14ac:dyDescent="0.2">
      <c r="GE1669" s="84"/>
      <c r="GF1669" s="84"/>
      <c r="GG1669" s="84"/>
      <c r="GH1669" s="84"/>
    </row>
    <row r="1670" spans="187:190" s="2" customFormat="1" ht="18" customHeight="1" x14ac:dyDescent="0.2">
      <c r="GE1670" s="84"/>
      <c r="GF1670" s="84"/>
      <c r="GG1670" s="84"/>
      <c r="GH1670" s="84"/>
    </row>
    <row r="1671" spans="187:190" s="2" customFormat="1" ht="18" customHeight="1" x14ac:dyDescent="0.2">
      <c r="GE1671" s="84"/>
      <c r="GF1671" s="84"/>
      <c r="GG1671" s="84"/>
      <c r="GH1671" s="84"/>
    </row>
    <row r="1672" spans="187:190" s="2" customFormat="1" ht="18" customHeight="1" x14ac:dyDescent="0.2">
      <c r="GE1672" s="84"/>
      <c r="GF1672" s="84"/>
      <c r="GG1672" s="84"/>
      <c r="GH1672" s="84"/>
    </row>
    <row r="1673" spans="187:190" s="2" customFormat="1" ht="18" customHeight="1" x14ac:dyDescent="0.2">
      <c r="GE1673" s="84"/>
      <c r="GF1673" s="84"/>
      <c r="GG1673" s="84"/>
      <c r="GH1673" s="84"/>
    </row>
    <row r="1674" spans="187:190" s="2" customFormat="1" ht="18" customHeight="1" x14ac:dyDescent="0.2">
      <c r="GE1674" s="84"/>
      <c r="GF1674" s="84"/>
      <c r="GG1674" s="84"/>
      <c r="GH1674" s="84"/>
    </row>
    <row r="1675" spans="187:190" s="2" customFormat="1" ht="18" customHeight="1" x14ac:dyDescent="0.2">
      <c r="GE1675" s="84"/>
      <c r="GF1675" s="84"/>
      <c r="GG1675" s="84"/>
      <c r="GH1675" s="84"/>
    </row>
    <row r="1676" spans="187:190" s="2" customFormat="1" ht="18" customHeight="1" x14ac:dyDescent="0.2">
      <c r="GE1676" s="84"/>
      <c r="GF1676" s="84"/>
      <c r="GG1676" s="84"/>
      <c r="GH1676" s="84"/>
    </row>
    <row r="1677" spans="187:190" s="2" customFormat="1" ht="18" customHeight="1" x14ac:dyDescent="0.2">
      <c r="GE1677" s="84"/>
      <c r="GF1677" s="84"/>
      <c r="GG1677" s="84"/>
      <c r="GH1677" s="84"/>
    </row>
    <row r="1678" spans="187:190" s="2" customFormat="1" ht="18" customHeight="1" x14ac:dyDescent="0.2">
      <c r="GE1678" s="84"/>
      <c r="GF1678" s="84"/>
      <c r="GG1678" s="84"/>
      <c r="GH1678" s="84"/>
    </row>
    <row r="1679" spans="187:190" s="2" customFormat="1" ht="18" customHeight="1" x14ac:dyDescent="0.2">
      <c r="GE1679" s="84"/>
      <c r="GF1679" s="84"/>
      <c r="GG1679" s="84"/>
      <c r="GH1679" s="84"/>
    </row>
    <row r="1680" spans="187:190" s="2" customFormat="1" ht="18" customHeight="1" x14ac:dyDescent="0.2">
      <c r="GE1680" s="84"/>
      <c r="GF1680" s="84"/>
      <c r="GG1680" s="84"/>
      <c r="GH1680" s="84"/>
    </row>
    <row r="1681" spans="187:190" s="2" customFormat="1" ht="18" customHeight="1" x14ac:dyDescent="0.2">
      <c r="GE1681" s="84"/>
      <c r="GF1681" s="84"/>
      <c r="GG1681" s="84"/>
      <c r="GH1681" s="84"/>
    </row>
    <row r="1682" spans="187:190" s="2" customFormat="1" ht="18" customHeight="1" x14ac:dyDescent="0.2">
      <c r="GE1682" s="84"/>
      <c r="GF1682" s="84"/>
      <c r="GG1682" s="84"/>
      <c r="GH1682" s="84"/>
    </row>
    <row r="1683" spans="187:190" s="2" customFormat="1" ht="18" customHeight="1" x14ac:dyDescent="0.2">
      <c r="GE1683" s="84"/>
      <c r="GF1683" s="84"/>
      <c r="GG1683" s="84"/>
      <c r="GH1683" s="84"/>
    </row>
    <row r="1684" spans="187:190" s="2" customFormat="1" ht="18" customHeight="1" x14ac:dyDescent="0.2">
      <c r="GE1684" s="84"/>
      <c r="GF1684" s="84"/>
      <c r="GG1684" s="84"/>
      <c r="GH1684" s="84"/>
    </row>
    <row r="1685" spans="187:190" s="2" customFormat="1" ht="18" customHeight="1" x14ac:dyDescent="0.2">
      <c r="GE1685" s="84"/>
      <c r="GF1685" s="84"/>
      <c r="GG1685" s="84"/>
      <c r="GH1685" s="84"/>
    </row>
    <row r="1686" spans="187:190" s="2" customFormat="1" ht="18" customHeight="1" x14ac:dyDescent="0.2">
      <c r="GE1686" s="84"/>
      <c r="GF1686" s="84"/>
      <c r="GG1686" s="84"/>
      <c r="GH1686" s="84"/>
    </row>
    <row r="1687" spans="187:190" s="2" customFormat="1" ht="18" customHeight="1" x14ac:dyDescent="0.2">
      <c r="GE1687" s="84"/>
      <c r="GF1687" s="84"/>
      <c r="GG1687" s="84"/>
      <c r="GH1687" s="84"/>
    </row>
    <row r="1688" spans="187:190" s="2" customFormat="1" ht="18" customHeight="1" x14ac:dyDescent="0.2">
      <c r="GE1688" s="84"/>
      <c r="GF1688" s="84"/>
      <c r="GG1688" s="84"/>
      <c r="GH1688" s="84"/>
    </row>
    <row r="1689" spans="187:190" s="2" customFormat="1" ht="18" customHeight="1" x14ac:dyDescent="0.2">
      <c r="GE1689" s="84"/>
      <c r="GF1689" s="84"/>
      <c r="GG1689" s="84"/>
      <c r="GH1689" s="84"/>
    </row>
    <row r="1690" spans="187:190" s="2" customFormat="1" ht="18" customHeight="1" x14ac:dyDescent="0.2">
      <c r="GE1690" s="84"/>
      <c r="GF1690" s="84"/>
      <c r="GG1690" s="84"/>
      <c r="GH1690" s="84"/>
    </row>
    <row r="1691" spans="187:190" s="2" customFormat="1" ht="18" customHeight="1" x14ac:dyDescent="0.2">
      <c r="GE1691" s="84"/>
      <c r="GF1691" s="84"/>
      <c r="GG1691" s="84"/>
      <c r="GH1691" s="84"/>
    </row>
    <row r="1692" spans="187:190" s="2" customFormat="1" ht="18" customHeight="1" x14ac:dyDescent="0.2">
      <c r="GE1692" s="84"/>
      <c r="GF1692" s="84"/>
      <c r="GG1692" s="84"/>
      <c r="GH1692" s="84"/>
    </row>
    <row r="1693" spans="187:190" s="2" customFormat="1" ht="18" customHeight="1" x14ac:dyDescent="0.2">
      <c r="GE1693" s="84"/>
      <c r="GF1693" s="84"/>
      <c r="GG1693" s="84"/>
      <c r="GH1693" s="84"/>
    </row>
    <row r="1694" spans="187:190" s="2" customFormat="1" ht="18" customHeight="1" x14ac:dyDescent="0.2">
      <c r="GE1694" s="84"/>
      <c r="GF1694" s="84"/>
      <c r="GG1694" s="84"/>
      <c r="GH1694" s="84"/>
    </row>
    <row r="1695" spans="187:190" s="2" customFormat="1" ht="18" customHeight="1" x14ac:dyDescent="0.2">
      <c r="GE1695" s="84"/>
      <c r="GF1695" s="84"/>
      <c r="GG1695" s="84"/>
      <c r="GH1695" s="84"/>
    </row>
    <row r="1696" spans="187:190" s="2" customFormat="1" ht="18" customHeight="1" x14ac:dyDescent="0.2">
      <c r="GE1696" s="84"/>
      <c r="GF1696" s="84"/>
      <c r="GG1696" s="84"/>
      <c r="GH1696" s="84"/>
    </row>
    <row r="1697" spans="187:190" s="2" customFormat="1" ht="18" customHeight="1" x14ac:dyDescent="0.2">
      <c r="GE1697" s="84"/>
      <c r="GF1697" s="84"/>
      <c r="GG1697" s="84"/>
      <c r="GH1697" s="84"/>
    </row>
    <row r="1698" spans="187:190" s="2" customFormat="1" ht="18" customHeight="1" x14ac:dyDescent="0.2">
      <c r="GE1698" s="84"/>
      <c r="GF1698" s="84"/>
      <c r="GG1698" s="84"/>
      <c r="GH1698" s="84"/>
    </row>
    <row r="1699" spans="187:190" s="2" customFormat="1" ht="18" customHeight="1" x14ac:dyDescent="0.2">
      <c r="GE1699" s="84"/>
      <c r="GF1699" s="84"/>
      <c r="GG1699" s="84"/>
      <c r="GH1699" s="84"/>
    </row>
    <row r="1700" spans="187:190" s="2" customFormat="1" ht="18" customHeight="1" x14ac:dyDescent="0.2">
      <c r="GE1700" s="84"/>
      <c r="GF1700" s="84"/>
      <c r="GG1700" s="84"/>
      <c r="GH1700" s="84"/>
    </row>
    <row r="1701" spans="187:190" s="2" customFormat="1" ht="18" customHeight="1" x14ac:dyDescent="0.2">
      <c r="GE1701" s="84"/>
      <c r="GF1701" s="84"/>
      <c r="GG1701" s="84"/>
      <c r="GH1701" s="84"/>
    </row>
    <row r="1702" spans="187:190" s="2" customFormat="1" ht="18" customHeight="1" x14ac:dyDescent="0.2">
      <c r="GE1702" s="84"/>
      <c r="GF1702" s="84"/>
      <c r="GG1702" s="84"/>
      <c r="GH1702" s="84"/>
    </row>
    <row r="1703" spans="187:190" s="2" customFormat="1" ht="18" customHeight="1" x14ac:dyDescent="0.2">
      <c r="GE1703" s="84"/>
      <c r="GF1703" s="84"/>
      <c r="GG1703" s="84"/>
      <c r="GH1703" s="84"/>
    </row>
    <row r="1704" spans="187:190" s="2" customFormat="1" ht="18" customHeight="1" x14ac:dyDescent="0.2">
      <c r="GE1704" s="84"/>
      <c r="GF1704" s="84"/>
      <c r="GG1704" s="84"/>
      <c r="GH1704" s="84"/>
    </row>
    <row r="1705" spans="187:190" s="2" customFormat="1" ht="18" customHeight="1" x14ac:dyDescent="0.2">
      <c r="GE1705" s="84"/>
      <c r="GF1705" s="84"/>
      <c r="GG1705" s="84"/>
      <c r="GH1705" s="84"/>
    </row>
    <row r="1706" spans="187:190" s="2" customFormat="1" ht="18" customHeight="1" x14ac:dyDescent="0.2">
      <c r="GE1706" s="84"/>
      <c r="GF1706" s="84"/>
      <c r="GG1706" s="84"/>
      <c r="GH1706" s="84"/>
    </row>
    <row r="1707" spans="187:190" s="2" customFormat="1" ht="18" customHeight="1" x14ac:dyDescent="0.2">
      <c r="GE1707" s="84"/>
      <c r="GF1707" s="84"/>
      <c r="GG1707" s="84"/>
      <c r="GH1707" s="84"/>
    </row>
    <row r="1708" spans="187:190" s="2" customFormat="1" ht="18" customHeight="1" x14ac:dyDescent="0.2">
      <c r="GE1708" s="84"/>
      <c r="GF1708" s="84"/>
      <c r="GG1708" s="84"/>
      <c r="GH1708" s="84"/>
    </row>
    <row r="1709" spans="187:190" s="2" customFormat="1" ht="18" customHeight="1" x14ac:dyDescent="0.2">
      <c r="GE1709" s="84"/>
      <c r="GF1709" s="84"/>
      <c r="GG1709" s="84"/>
      <c r="GH1709" s="84"/>
    </row>
    <row r="1710" spans="187:190" s="2" customFormat="1" ht="18" customHeight="1" x14ac:dyDescent="0.2">
      <c r="GE1710" s="84"/>
      <c r="GF1710" s="84"/>
      <c r="GG1710" s="84"/>
      <c r="GH1710" s="84"/>
    </row>
    <row r="1711" spans="187:190" s="2" customFormat="1" ht="18" customHeight="1" x14ac:dyDescent="0.2">
      <c r="GE1711" s="84"/>
      <c r="GF1711" s="84"/>
      <c r="GG1711" s="84"/>
      <c r="GH1711" s="84"/>
    </row>
    <row r="1712" spans="187:190" s="2" customFormat="1" ht="18" customHeight="1" x14ac:dyDescent="0.2">
      <c r="GE1712" s="84"/>
      <c r="GF1712" s="84"/>
      <c r="GG1712" s="84"/>
      <c r="GH1712" s="84"/>
    </row>
    <row r="1713" spans="187:190" s="2" customFormat="1" ht="18" customHeight="1" x14ac:dyDescent="0.2">
      <c r="GE1713" s="84"/>
      <c r="GF1713" s="84"/>
      <c r="GG1713" s="84"/>
      <c r="GH1713" s="84"/>
    </row>
    <row r="1714" spans="187:190" s="2" customFormat="1" ht="18" customHeight="1" x14ac:dyDescent="0.2">
      <c r="GE1714" s="84"/>
      <c r="GF1714" s="84"/>
      <c r="GG1714" s="84"/>
      <c r="GH1714" s="84"/>
    </row>
    <row r="1715" spans="187:190" s="2" customFormat="1" ht="18" customHeight="1" x14ac:dyDescent="0.2">
      <c r="GE1715" s="84"/>
      <c r="GF1715" s="84"/>
      <c r="GG1715" s="84"/>
      <c r="GH1715" s="84"/>
    </row>
    <row r="1716" spans="187:190" s="2" customFormat="1" ht="18" customHeight="1" x14ac:dyDescent="0.2">
      <c r="GE1716" s="84"/>
      <c r="GF1716" s="84"/>
      <c r="GG1716" s="84"/>
      <c r="GH1716" s="84"/>
    </row>
    <row r="1717" spans="187:190" s="2" customFormat="1" ht="18" customHeight="1" x14ac:dyDescent="0.2">
      <c r="GE1717" s="84"/>
      <c r="GF1717" s="84"/>
      <c r="GG1717" s="84"/>
      <c r="GH1717" s="84"/>
    </row>
    <row r="1718" spans="187:190" s="2" customFormat="1" ht="18" customHeight="1" x14ac:dyDescent="0.2">
      <c r="GE1718" s="84"/>
      <c r="GF1718" s="84"/>
      <c r="GG1718" s="84"/>
      <c r="GH1718" s="84"/>
    </row>
    <row r="1719" spans="187:190" s="2" customFormat="1" ht="18" customHeight="1" x14ac:dyDescent="0.2">
      <c r="GE1719" s="84"/>
      <c r="GF1719" s="84"/>
      <c r="GG1719" s="84"/>
      <c r="GH1719" s="84"/>
    </row>
    <row r="1720" spans="187:190" s="2" customFormat="1" ht="18" customHeight="1" x14ac:dyDescent="0.2">
      <c r="GE1720" s="84"/>
      <c r="GF1720" s="84"/>
      <c r="GG1720" s="84"/>
      <c r="GH1720" s="84"/>
    </row>
    <row r="1721" spans="187:190" s="2" customFormat="1" ht="18" customHeight="1" x14ac:dyDescent="0.2">
      <c r="GE1721" s="84"/>
      <c r="GF1721" s="84"/>
      <c r="GG1721" s="84"/>
      <c r="GH1721" s="84"/>
    </row>
    <row r="1722" spans="187:190" s="2" customFormat="1" ht="18" customHeight="1" x14ac:dyDescent="0.2">
      <c r="GE1722" s="84"/>
      <c r="GF1722" s="84"/>
      <c r="GG1722" s="84"/>
      <c r="GH1722" s="84"/>
    </row>
    <row r="1723" spans="187:190" s="2" customFormat="1" ht="18" customHeight="1" x14ac:dyDescent="0.2">
      <c r="GE1723" s="84"/>
      <c r="GF1723" s="84"/>
      <c r="GG1723" s="84"/>
      <c r="GH1723" s="84"/>
    </row>
    <row r="1724" spans="187:190" s="2" customFormat="1" ht="18" customHeight="1" x14ac:dyDescent="0.2">
      <c r="GE1724" s="84"/>
      <c r="GF1724" s="84"/>
      <c r="GG1724" s="84"/>
      <c r="GH1724" s="84"/>
    </row>
    <row r="1725" spans="187:190" s="2" customFormat="1" ht="18" customHeight="1" x14ac:dyDescent="0.2">
      <c r="GE1725" s="84"/>
      <c r="GF1725" s="84"/>
      <c r="GG1725" s="84"/>
      <c r="GH1725" s="84"/>
    </row>
    <row r="1726" spans="187:190" s="2" customFormat="1" ht="18" customHeight="1" x14ac:dyDescent="0.2">
      <c r="GE1726" s="84"/>
      <c r="GF1726" s="84"/>
      <c r="GG1726" s="84"/>
      <c r="GH1726" s="84"/>
    </row>
    <row r="1727" spans="187:190" s="2" customFormat="1" ht="18" customHeight="1" x14ac:dyDescent="0.2">
      <c r="GE1727" s="84"/>
      <c r="GF1727" s="84"/>
      <c r="GG1727" s="84"/>
      <c r="GH1727" s="84"/>
    </row>
    <row r="1728" spans="187:190" s="2" customFormat="1" ht="18" customHeight="1" x14ac:dyDescent="0.2">
      <c r="GE1728" s="84"/>
      <c r="GF1728" s="84"/>
      <c r="GG1728" s="84"/>
      <c r="GH1728" s="84"/>
    </row>
    <row r="1729" spans="187:190" s="2" customFormat="1" ht="18" customHeight="1" x14ac:dyDescent="0.2">
      <c r="GE1729" s="84"/>
      <c r="GF1729" s="84"/>
      <c r="GG1729" s="84"/>
      <c r="GH1729" s="84"/>
    </row>
    <row r="1730" spans="187:190" s="2" customFormat="1" ht="18" customHeight="1" x14ac:dyDescent="0.2">
      <c r="GE1730" s="84"/>
      <c r="GF1730" s="84"/>
      <c r="GG1730" s="84"/>
      <c r="GH1730" s="84"/>
    </row>
    <row r="1731" spans="187:190" s="2" customFormat="1" ht="18" customHeight="1" x14ac:dyDescent="0.2">
      <c r="GE1731" s="84"/>
      <c r="GF1731" s="84"/>
      <c r="GG1731" s="84"/>
      <c r="GH1731" s="84"/>
    </row>
    <row r="1732" spans="187:190" s="2" customFormat="1" ht="18" customHeight="1" x14ac:dyDescent="0.2">
      <c r="GE1732" s="84"/>
      <c r="GF1732" s="84"/>
      <c r="GG1732" s="84"/>
      <c r="GH1732" s="84"/>
    </row>
    <row r="1733" spans="187:190" s="2" customFormat="1" ht="18" customHeight="1" x14ac:dyDescent="0.2">
      <c r="GE1733" s="84"/>
      <c r="GF1733" s="84"/>
      <c r="GG1733" s="84"/>
      <c r="GH1733" s="84"/>
    </row>
    <row r="1734" spans="187:190" s="2" customFormat="1" ht="18" customHeight="1" x14ac:dyDescent="0.2">
      <c r="GE1734" s="84"/>
      <c r="GF1734" s="84"/>
      <c r="GG1734" s="84"/>
      <c r="GH1734" s="84"/>
    </row>
    <row r="1735" spans="187:190" s="2" customFormat="1" ht="18" customHeight="1" x14ac:dyDescent="0.2">
      <c r="GE1735" s="84"/>
      <c r="GF1735" s="84"/>
      <c r="GG1735" s="84"/>
      <c r="GH1735" s="84"/>
    </row>
    <row r="1736" spans="187:190" s="2" customFormat="1" ht="18" customHeight="1" x14ac:dyDescent="0.2">
      <c r="GE1736" s="84"/>
      <c r="GF1736" s="84"/>
      <c r="GG1736" s="84"/>
      <c r="GH1736" s="84"/>
    </row>
    <row r="1737" spans="187:190" s="2" customFormat="1" ht="18" customHeight="1" x14ac:dyDescent="0.2">
      <c r="GE1737" s="84"/>
      <c r="GF1737" s="84"/>
      <c r="GG1737" s="84"/>
      <c r="GH1737" s="84"/>
    </row>
    <row r="1738" spans="187:190" s="2" customFormat="1" ht="18" customHeight="1" x14ac:dyDescent="0.2">
      <c r="GE1738" s="84"/>
      <c r="GF1738" s="84"/>
      <c r="GG1738" s="84"/>
      <c r="GH1738" s="84"/>
    </row>
    <row r="1739" spans="187:190" s="2" customFormat="1" ht="18" customHeight="1" x14ac:dyDescent="0.2">
      <c r="GE1739" s="84"/>
      <c r="GF1739" s="84"/>
      <c r="GG1739" s="84"/>
      <c r="GH1739" s="84"/>
    </row>
    <row r="1740" spans="187:190" s="2" customFormat="1" ht="18" customHeight="1" x14ac:dyDescent="0.2">
      <c r="GE1740" s="84"/>
      <c r="GF1740" s="84"/>
      <c r="GG1740" s="84"/>
      <c r="GH1740" s="84"/>
    </row>
    <row r="1741" spans="187:190" s="2" customFormat="1" ht="18" customHeight="1" x14ac:dyDescent="0.2">
      <c r="GE1741" s="84"/>
      <c r="GF1741" s="84"/>
      <c r="GG1741" s="84"/>
      <c r="GH1741" s="84"/>
    </row>
    <row r="1742" spans="187:190" s="2" customFormat="1" ht="18" customHeight="1" x14ac:dyDescent="0.2">
      <c r="GE1742" s="84"/>
      <c r="GF1742" s="84"/>
      <c r="GG1742" s="84"/>
      <c r="GH1742" s="84"/>
    </row>
    <row r="1743" spans="187:190" s="2" customFormat="1" ht="18" customHeight="1" x14ac:dyDescent="0.2">
      <c r="GE1743" s="84"/>
      <c r="GF1743" s="84"/>
      <c r="GG1743" s="84"/>
      <c r="GH1743" s="84"/>
    </row>
    <row r="1744" spans="187:190" s="2" customFormat="1" ht="18" customHeight="1" x14ac:dyDescent="0.2">
      <c r="GE1744" s="84"/>
      <c r="GF1744" s="84"/>
      <c r="GG1744" s="84"/>
      <c r="GH1744" s="84"/>
    </row>
    <row r="1745" spans="187:190" s="2" customFormat="1" ht="18" customHeight="1" x14ac:dyDescent="0.2">
      <c r="GE1745" s="84"/>
      <c r="GF1745" s="84"/>
      <c r="GG1745" s="84"/>
      <c r="GH1745" s="84"/>
    </row>
    <row r="1746" spans="187:190" s="2" customFormat="1" ht="18" customHeight="1" x14ac:dyDescent="0.2">
      <c r="GE1746" s="84"/>
      <c r="GF1746" s="84"/>
      <c r="GG1746" s="84"/>
      <c r="GH1746" s="84"/>
    </row>
    <row r="1747" spans="187:190" s="2" customFormat="1" ht="18" customHeight="1" x14ac:dyDescent="0.2">
      <c r="GE1747" s="84"/>
      <c r="GF1747" s="84"/>
      <c r="GG1747" s="84"/>
      <c r="GH1747" s="84"/>
    </row>
    <row r="1748" spans="187:190" s="2" customFormat="1" ht="18" customHeight="1" x14ac:dyDescent="0.2">
      <c r="GE1748" s="84"/>
      <c r="GF1748" s="84"/>
      <c r="GG1748" s="84"/>
      <c r="GH1748" s="84"/>
    </row>
    <row r="1749" spans="187:190" s="2" customFormat="1" ht="18" customHeight="1" x14ac:dyDescent="0.2">
      <c r="GE1749" s="84"/>
      <c r="GF1749" s="84"/>
      <c r="GG1749" s="84"/>
      <c r="GH1749" s="84"/>
    </row>
    <row r="1750" spans="187:190" s="2" customFormat="1" ht="18" customHeight="1" x14ac:dyDescent="0.2">
      <c r="GE1750" s="84"/>
      <c r="GF1750" s="84"/>
      <c r="GG1750" s="84"/>
      <c r="GH1750" s="84"/>
    </row>
    <row r="1751" spans="187:190" s="2" customFormat="1" ht="18" customHeight="1" x14ac:dyDescent="0.2">
      <c r="GE1751" s="84"/>
      <c r="GF1751" s="84"/>
      <c r="GG1751" s="84"/>
      <c r="GH1751" s="84"/>
    </row>
    <row r="1752" spans="187:190" s="2" customFormat="1" ht="18" customHeight="1" x14ac:dyDescent="0.2">
      <c r="GE1752" s="84"/>
      <c r="GF1752" s="84"/>
      <c r="GG1752" s="84"/>
      <c r="GH1752" s="84"/>
    </row>
    <row r="1753" spans="187:190" s="2" customFormat="1" ht="18" customHeight="1" x14ac:dyDescent="0.2">
      <c r="GE1753" s="84"/>
      <c r="GF1753" s="84"/>
      <c r="GG1753" s="84"/>
      <c r="GH1753" s="84"/>
    </row>
    <row r="1754" spans="187:190" s="2" customFormat="1" ht="18" customHeight="1" x14ac:dyDescent="0.2">
      <c r="GE1754" s="84"/>
      <c r="GF1754" s="84"/>
      <c r="GG1754" s="84"/>
      <c r="GH1754" s="84"/>
    </row>
    <row r="1755" spans="187:190" s="2" customFormat="1" ht="18" customHeight="1" x14ac:dyDescent="0.2">
      <c r="GE1755" s="84"/>
      <c r="GF1755" s="84"/>
      <c r="GG1755" s="84"/>
      <c r="GH1755" s="84"/>
    </row>
    <row r="1756" spans="187:190" s="2" customFormat="1" ht="18" customHeight="1" x14ac:dyDescent="0.2">
      <c r="GE1756" s="84"/>
      <c r="GF1756" s="84"/>
      <c r="GG1756" s="84"/>
      <c r="GH1756" s="84"/>
    </row>
    <row r="1757" spans="187:190" s="2" customFormat="1" ht="18" customHeight="1" x14ac:dyDescent="0.2">
      <c r="GE1757" s="84"/>
      <c r="GF1757" s="84"/>
      <c r="GG1757" s="84"/>
      <c r="GH1757" s="84"/>
    </row>
    <row r="1758" spans="187:190" s="2" customFormat="1" ht="18" customHeight="1" x14ac:dyDescent="0.2">
      <c r="GE1758" s="84"/>
      <c r="GF1758" s="84"/>
      <c r="GG1758" s="84"/>
      <c r="GH1758" s="84"/>
    </row>
    <row r="1759" spans="187:190" s="2" customFormat="1" ht="18" customHeight="1" x14ac:dyDescent="0.2">
      <c r="GE1759" s="84"/>
      <c r="GF1759" s="84"/>
      <c r="GG1759" s="84"/>
      <c r="GH1759" s="84"/>
    </row>
    <row r="1760" spans="187:190" s="2" customFormat="1" ht="18" customHeight="1" x14ac:dyDescent="0.2">
      <c r="GE1760" s="84"/>
      <c r="GF1760" s="84"/>
      <c r="GG1760" s="84"/>
      <c r="GH1760" s="84"/>
    </row>
    <row r="1761" spans="187:190" s="2" customFormat="1" ht="18" customHeight="1" x14ac:dyDescent="0.2">
      <c r="GE1761" s="84"/>
      <c r="GF1761" s="84"/>
      <c r="GG1761" s="84"/>
      <c r="GH1761" s="84"/>
    </row>
    <row r="1762" spans="187:190" s="2" customFormat="1" ht="18" customHeight="1" x14ac:dyDescent="0.2">
      <c r="GE1762" s="84"/>
      <c r="GF1762" s="84"/>
      <c r="GG1762" s="84"/>
      <c r="GH1762" s="84"/>
    </row>
    <row r="1763" spans="187:190" s="2" customFormat="1" ht="18" customHeight="1" x14ac:dyDescent="0.2">
      <c r="GE1763" s="84"/>
      <c r="GF1763" s="84"/>
      <c r="GG1763" s="84"/>
      <c r="GH1763" s="84"/>
    </row>
    <row r="1764" spans="187:190" s="2" customFormat="1" ht="18" customHeight="1" x14ac:dyDescent="0.2">
      <c r="GE1764" s="84"/>
      <c r="GF1764" s="84"/>
      <c r="GG1764" s="84"/>
      <c r="GH1764" s="84"/>
    </row>
    <row r="1765" spans="187:190" s="2" customFormat="1" ht="18" customHeight="1" x14ac:dyDescent="0.2">
      <c r="GE1765" s="84"/>
      <c r="GF1765" s="84"/>
      <c r="GG1765" s="84"/>
      <c r="GH1765" s="84"/>
    </row>
    <row r="1766" spans="187:190" s="2" customFormat="1" ht="18" customHeight="1" x14ac:dyDescent="0.2">
      <c r="GE1766" s="84"/>
      <c r="GF1766" s="84"/>
      <c r="GG1766" s="84"/>
      <c r="GH1766" s="84"/>
    </row>
    <row r="1767" spans="187:190" s="2" customFormat="1" ht="18" customHeight="1" x14ac:dyDescent="0.2">
      <c r="GE1767" s="84"/>
      <c r="GF1767" s="84"/>
      <c r="GG1767" s="84"/>
      <c r="GH1767" s="84"/>
    </row>
    <row r="1768" spans="187:190" s="2" customFormat="1" ht="18" customHeight="1" x14ac:dyDescent="0.2">
      <c r="GE1768" s="84"/>
      <c r="GF1768" s="84"/>
      <c r="GG1768" s="84"/>
      <c r="GH1768" s="84"/>
    </row>
    <row r="1769" spans="187:190" s="2" customFormat="1" ht="18" customHeight="1" x14ac:dyDescent="0.2">
      <c r="GE1769" s="84"/>
      <c r="GF1769" s="84"/>
      <c r="GG1769" s="84"/>
      <c r="GH1769" s="84"/>
    </row>
    <row r="1770" spans="187:190" s="2" customFormat="1" ht="18" customHeight="1" x14ac:dyDescent="0.2">
      <c r="GE1770" s="84"/>
      <c r="GF1770" s="84"/>
      <c r="GG1770" s="84"/>
      <c r="GH1770" s="84"/>
    </row>
    <row r="1771" spans="187:190" s="2" customFormat="1" ht="18" customHeight="1" x14ac:dyDescent="0.2">
      <c r="GE1771" s="84"/>
      <c r="GF1771" s="84"/>
      <c r="GG1771" s="84"/>
      <c r="GH1771" s="84"/>
    </row>
    <row r="1772" spans="187:190" s="2" customFormat="1" ht="18" customHeight="1" x14ac:dyDescent="0.2">
      <c r="GE1772" s="84"/>
      <c r="GF1772" s="84"/>
      <c r="GG1772" s="84"/>
      <c r="GH1772" s="84"/>
    </row>
    <row r="1773" spans="187:190" s="2" customFormat="1" ht="18" customHeight="1" x14ac:dyDescent="0.2">
      <c r="GE1773" s="84"/>
      <c r="GF1773" s="84"/>
      <c r="GG1773" s="84"/>
      <c r="GH1773" s="84"/>
    </row>
    <row r="1774" spans="187:190" s="2" customFormat="1" ht="18" customHeight="1" x14ac:dyDescent="0.2">
      <c r="GE1774" s="84"/>
      <c r="GF1774" s="84"/>
      <c r="GG1774" s="84"/>
      <c r="GH1774" s="84"/>
    </row>
    <row r="1775" spans="187:190" s="2" customFormat="1" ht="18" customHeight="1" x14ac:dyDescent="0.2">
      <c r="GE1775" s="84"/>
      <c r="GF1775" s="84"/>
      <c r="GG1775" s="84"/>
      <c r="GH1775" s="84"/>
    </row>
    <row r="1776" spans="187:190" s="2" customFormat="1" ht="18" customHeight="1" x14ac:dyDescent="0.2">
      <c r="GE1776" s="84"/>
      <c r="GF1776" s="84"/>
      <c r="GG1776" s="84"/>
      <c r="GH1776" s="84"/>
    </row>
    <row r="1777" spans="187:190" s="2" customFormat="1" ht="18" customHeight="1" x14ac:dyDescent="0.2">
      <c r="GE1777" s="84"/>
      <c r="GF1777" s="84"/>
      <c r="GG1777" s="84"/>
      <c r="GH1777" s="84"/>
    </row>
    <row r="1778" spans="187:190" s="2" customFormat="1" ht="18" customHeight="1" x14ac:dyDescent="0.2">
      <c r="GE1778" s="84"/>
      <c r="GF1778" s="84"/>
      <c r="GG1778" s="84"/>
      <c r="GH1778" s="84"/>
    </row>
    <row r="1779" spans="187:190" s="2" customFormat="1" ht="18" customHeight="1" x14ac:dyDescent="0.2">
      <c r="GE1779" s="84"/>
      <c r="GF1779" s="84"/>
      <c r="GG1779" s="84"/>
      <c r="GH1779" s="84"/>
    </row>
    <row r="1780" spans="187:190" s="2" customFormat="1" ht="18" customHeight="1" x14ac:dyDescent="0.2">
      <c r="GE1780" s="84"/>
      <c r="GF1780" s="84"/>
      <c r="GG1780" s="84"/>
      <c r="GH1780" s="84"/>
    </row>
    <row r="1781" spans="187:190" s="2" customFormat="1" ht="18" customHeight="1" x14ac:dyDescent="0.2">
      <c r="GE1781" s="84"/>
      <c r="GF1781" s="84"/>
      <c r="GG1781" s="84"/>
      <c r="GH1781" s="84"/>
    </row>
    <row r="1782" spans="187:190" s="2" customFormat="1" ht="18" customHeight="1" x14ac:dyDescent="0.2">
      <c r="GE1782" s="84"/>
      <c r="GF1782" s="84"/>
      <c r="GG1782" s="84"/>
      <c r="GH1782" s="84"/>
    </row>
    <row r="1783" spans="187:190" s="2" customFormat="1" ht="18" customHeight="1" x14ac:dyDescent="0.2">
      <c r="GE1783" s="84"/>
      <c r="GF1783" s="84"/>
      <c r="GG1783" s="84"/>
      <c r="GH1783" s="84"/>
    </row>
    <row r="1784" spans="187:190" s="2" customFormat="1" ht="18" customHeight="1" x14ac:dyDescent="0.2">
      <c r="GE1784" s="84"/>
      <c r="GF1784" s="84"/>
      <c r="GG1784" s="84"/>
      <c r="GH1784" s="84"/>
    </row>
    <row r="1785" spans="187:190" s="2" customFormat="1" ht="18" customHeight="1" x14ac:dyDescent="0.2">
      <c r="GE1785" s="84"/>
      <c r="GF1785" s="84"/>
      <c r="GG1785" s="84"/>
      <c r="GH1785" s="84"/>
    </row>
    <row r="1786" spans="187:190" s="2" customFormat="1" ht="18" customHeight="1" x14ac:dyDescent="0.2">
      <c r="GE1786" s="84"/>
      <c r="GF1786" s="84"/>
      <c r="GG1786" s="84"/>
      <c r="GH1786" s="84"/>
    </row>
    <row r="1787" spans="187:190" s="2" customFormat="1" ht="18" customHeight="1" x14ac:dyDescent="0.2">
      <c r="GE1787" s="84"/>
      <c r="GF1787" s="84"/>
      <c r="GG1787" s="84"/>
      <c r="GH1787" s="84"/>
    </row>
    <row r="1788" spans="187:190" s="2" customFormat="1" ht="18" customHeight="1" x14ac:dyDescent="0.2">
      <c r="GE1788" s="84"/>
      <c r="GF1788" s="84"/>
      <c r="GG1788" s="84"/>
      <c r="GH1788" s="84"/>
    </row>
    <row r="1789" spans="187:190" s="2" customFormat="1" ht="18" customHeight="1" x14ac:dyDescent="0.2">
      <c r="GE1789" s="84"/>
      <c r="GF1789" s="84"/>
      <c r="GG1789" s="84"/>
      <c r="GH1789" s="84"/>
    </row>
    <row r="1790" spans="187:190" s="2" customFormat="1" ht="18" customHeight="1" x14ac:dyDescent="0.2">
      <c r="GE1790" s="84"/>
      <c r="GF1790" s="84"/>
      <c r="GG1790" s="84"/>
      <c r="GH1790" s="84"/>
    </row>
    <row r="1791" spans="187:190" s="2" customFormat="1" ht="18" customHeight="1" x14ac:dyDescent="0.2">
      <c r="GE1791" s="84"/>
      <c r="GF1791" s="84"/>
      <c r="GG1791" s="84"/>
      <c r="GH1791" s="84"/>
    </row>
    <row r="1792" spans="187:190" s="2" customFormat="1" ht="18" customHeight="1" x14ac:dyDescent="0.2">
      <c r="GE1792" s="84"/>
      <c r="GF1792" s="84"/>
      <c r="GG1792" s="84"/>
      <c r="GH1792" s="84"/>
    </row>
    <row r="1793" spans="187:190" s="2" customFormat="1" ht="18" customHeight="1" x14ac:dyDescent="0.2">
      <c r="GE1793" s="84"/>
      <c r="GF1793" s="84"/>
      <c r="GG1793" s="84"/>
      <c r="GH1793" s="84"/>
    </row>
    <row r="1794" spans="187:190" s="2" customFormat="1" ht="18" customHeight="1" x14ac:dyDescent="0.2">
      <c r="GE1794" s="84"/>
      <c r="GF1794" s="84"/>
      <c r="GG1794" s="84"/>
      <c r="GH1794" s="84"/>
    </row>
    <row r="1795" spans="187:190" s="2" customFormat="1" ht="18" customHeight="1" x14ac:dyDescent="0.2">
      <c r="GE1795" s="84"/>
      <c r="GF1795" s="84"/>
      <c r="GG1795" s="84"/>
      <c r="GH1795" s="84"/>
    </row>
    <row r="1796" spans="187:190" s="2" customFormat="1" ht="18" customHeight="1" x14ac:dyDescent="0.2">
      <c r="GE1796" s="84"/>
      <c r="GF1796" s="84"/>
      <c r="GG1796" s="84"/>
      <c r="GH1796" s="84"/>
    </row>
    <row r="1797" spans="187:190" s="2" customFormat="1" ht="18" customHeight="1" x14ac:dyDescent="0.2">
      <c r="GE1797" s="84"/>
      <c r="GF1797" s="84"/>
      <c r="GG1797" s="84"/>
      <c r="GH1797" s="84"/>
    </row>
    <row r="1798" spans="187:190" s="2" customFormat="1" ht="18" customHeight="1" x14ac:dyDescent="0.2">
      <c r="GE1798" s="84"/>
      <c r="GF1798" s="84"/>
      <c r="GG1798" s="84"/>
      <c r="GH1798" s="84"/>
    </row>
    <row r="1799" spans="187:190" s="2" customFormat="1" ht="18" customHeight="1" x14ac:dyDescent="0.2">
      <c r="GE1799" s="84"/>
      <c r="GF1799" s="84"/>
      <c r="GG1799" s="84"/>
      <c r="GH1799" s="84"/>
    </row>
    <row r="1800" spans="187:190" s="2" customFormat="1" ht="18" customHeight="1" x14ac:dyDescent="0.2">
      <c r="GE1800" s="84"/>
      <c r="GF1800" s="84"/>
      <c r="GG1800" s="84"/>
      <c r="GH1800" s="84"/>
    </row>
    <row r="1801" spans="187:190" s="2" customFormat="1" ht="18" customHeight="1" x14ac:dyDescent="0.2">
      <c r="GE1801" s="84"/>
      <c r="GF1801" s="84"/>
      <c r="GG1801" s="84"/>
      <c r="GH1801" s="84"/>
    </row>
    <row r="1802" spans="187:190" s="2" customFormat="1" ht="18" customHeight="1" x14ac:dyDescent="0.2">
      <c r="GE1802" s="84"/>
      <c r="GF1802" s="84"/>
      <c r="GG1802" s="84"/>
      <c r="GH1802" s="84"/>
    </row>
    <row r="1803" spans="187:190" s="2" customFormat="1" ht="18" customHeight="1" x14ac:dyDescent="0.2">
      <c r="GE1803" s="84"/>
      <c r="GF1803" s="84"/>
      <c r="GG1803" s="84"/>
      <c r="GH1803" s="84"/>
    </row>
    <row r="1804" spans="187:190" s="2" customFormat="1" ht="18" customHeight="1" x14ac:dyDescent="0.2">
      <c r="GE1804" s="84"/>
      <c r="GF1804" s="84"/>
      <c r="GG1804" s="84"/>
      <c r="GH1804" s="84"/>
    </row>
    <row r="1805" spans="187:190" s="2" customFormat="1" ht="18" customHeight="1" x14ac:dyDescent="0.2">
      <c r="GE1805" s="84"/>
      <c r="GF1805" s="84"/>
      <c r="GG1805" s="84"/>
      <c r="GH1805" s="84"/>
    </row>
    <row r="1806" spans="187:190" s="2" customFormat="1" ht="18" customHeight="1" x14ac:dyDescent="0.2">
      <c r="GE1806" s="84"/>
      <c r="GF1806" s="84"/>
      <c r="GG1806" s="84"/>
      <c r="GH1806" s="84"/>
    </row>
    <row r="1807" spans="187:190" s="2" customFormat="1" ht="18" customHeight="1" x14ac:dyDescent="0.2">
      <c r="GE1807" s="84"/>
      <c r="GF1807" s="84"/>
      <c r="GG1807" s="84"/>
      <c r="GH1807" s="84"/>
    </row>
    <row r="1808" spans="187:190" s="2" customFormat="1" ht="18" customHeight="1" x14ac:dyDescent="0.2">
      <c r="GE1808" s="84"/>
      <c r="GF1808" s="84"/>
      <c r="GG1808" s="84"/>
      <c r="GH1808" s="84"/>
    </row>
    <row r="1809" spans="187:190" s="2" customFormat="1" ht="18" customHeight="1" x14ac:dyDescent="0.2">
      <c r="GE1809" s="84"/>
      <c r="GF1809" s="84"/>
      <c r="GG1809" s="84"/>
      <c r="GH1809" s="84"/>
    </row>
    <row r="1810" spans="187:190" s="2" customFormat="1" ht="18" customHeight="1" x14ac:dyDescent="0.2">
      <c r="GE1810" s="84"/>
      <c r="GF1810" s="84"/>
      <c r="GG1810" s="84"/>
      <c r="GH1810" s="84"/>
    </row>
    <row r="1811" spans="187:190" s="2" customFormat="1" ht="18" customHeight="1" x14ac:dyDescent="0.2">
      <c r="GE1811" s="84"/>
      <c r="GF1811" s="84"/>
      <c r="GG1811" s="84"/>
      <c r="GH1811" s="84"/>
    </row>
    <row r="1812" spans="187:190" s="2" customFormat="1" ht="18" customHeight="1" x14ac:dyDescent="0.2">
      <c r="GE1812" s="84"/>
      <c r="GF1812" s="84"/>
      <c r="GG1812" s="84"/>
      <c r="GH1812" s="84"/>
    </row>
    <row r="1813" spans="187:190" s="2" customFormat="1" ht="18" customHeight="1" x14ac:dyDescent="0.2">
      <c r="GE1813" s="84"/>
      <c r="GF1813" s="84"/>
      <c r="GG1813" s="84"/>
      <c r="GH1813" s="84"/>
    </row>
    <row r="1814" spans="187:190" s="2" customFormat="1" ht="18" customHeight="1" x14ac:dyDescent="0.2">
      <c r="GE1814" s="84"/>
      <c r="GF1814" s="84"/>
      <c r="GG1814" s="84"/>
      <c r="GH1814" s="84"/>
    </row>
    <row r="1815" spans="187:190" s="2" customFormat="1" ht="18" customHeight="1" x14ac:dyDescent="0.2">
      <c r="GE1815" s="84"/>
      <c r="GF1815" s="84"/>
      <c r="GG1815" s="84"/>
      <c r="GH1815" s="84"/>
    </row>
    <row r="1816" spans="187:190" s="2" customFormat="1" ht="18" customHeight="1" x14ac:dyDescent="0.2">
      <c r="GE1816" s="84"/>
      <c r="GF1816" s="84"/>
      <c r="GG1816" s="84"/>
      <c r="GH1816" s="84"/>
    </row>
    <row r="1817" spans="187:190" s="2" customFormat="1" ht="18" customHeight="1" x14ac:dyDescent="0.2">
      <c r="GE1817" s="84"/>
      <c r="GF1817" s="84"/>
      <c r="GG1817" s="84"/>
      <c r="GH1817" s="84"/>
    </row>
    <row r="1818" spans="187:190" s="2" customFormat="1" ht="18" customHeight="1" x14ac:dyDescent="0.2">
      <c r="GE1818" s="84"/>
      <c r="GF1818" s="84"/>
      <c r="GG1818" s="84"/>
      <c r="GH1818" s="84"/>
    </row>
    <row r="1819" spans="187:190" s="2" customFormat="1" ht="18" customHeight="1" x14ac:dyDescent="0.2">
      <c r="GE1819" s="84"/>
      <c r="GF1819" s="84"/>
      <c r="GG1819" s="84"/>
      <c r="GH1819" s="84"/>
    </row>
    <row r="1820" spans="187:190" s="2" customFormat="1" ht="18" customHeight="1" x14ac:dyDescent="0.2">
      <c r="GE1820" s="84"/>
      <c r="GF1820" s="84"/>
      <c r="GG1820" s="84"/>
      <c r="GH1820" s="84"/>
    </row>
    <row r="1821" spans="187:190" s="2" customFormat="1" ht="18" customHeight="1" x14ac:dyDescent="0.2">
      <c r="GE1821" s="84"/>
      <c r="GF1821" s="84"/>
      <c r="GG1821" s="84"/>
      <c r="GH1821" s="84"/>
    </row>
    <row r="1822" spans="187:190" s="2" customFormat="1" ht="18" customHeight="1" x14ac:dyDescent="0.2">
      <c r="GE1822" s="84"/>
      <c r="GF1822" s="84"/>
      <c r="GG1822" s="84"/>
      <c r="GH1822" s="84"/>
    </row>
    <row r="1823" spans="187:190" s="2" customFormat="1" ht="18" customHeight="1" x14ac:dyDescent="0.2">
      <c r="GE1823" s="84"/>
      <c r="GF1823" s="84"/>
      <c r="GG1823" s="84"/>
      <c r="GH1823" s="84"/>
    </row>
    <row r="1824" spans="187:190" s="2" customFormat="1" ht="18" customHeight="1" x14ac:dyDescent="0.2">
      <c r="GE1824" s="84"/>
      <c r="GF1824" s="84"/>
      <c r="GG1824" s="84"/>
      <c r="GH1824" s="84"/>
    </row>
    <row r="1825" spans="187:190" s="2" customFormat="1" ht="18" customHeight="1" x14ac:dyDescent="0.2">
      <c r="GE1825" s="84"/>
      <c r="GF1825" s="84"/>
      <c r="GG1825" s="84"/>
      <c r="GH1825" s="84"/>
    </row>
    <row r="1826" spans="187:190" s="2" customFormat="1" ht="18" customHeight="1" x14ac:dyDescent="0.2">
      <c r="GE1826" s="84"/>
      <c r="GF1826" s="84"/>
      <c r="GG1826" s="84"/>
      <c r="GH1826" s="84"/>
    </row>
    <row r="1827" spans="187:190" s="2" customFormat="1" ht="18" customHeight="1" x14ac:dyDescent="0.2">
      <c r="GE1827" s="84"/>
      <c r="GF1827" s="84"/>
      <c r="GG1827" s="84"/>
      <c r="GH1827" s="84"/>
    </row>
    <row r="1828" spans="187:190" s="2" customFormat="1" ht="18" customHeight="1" x14ac:dyDescent="0.2">
      <c r="GE1828" s="84"/>
      <c r="GF1828" s="84"/>
      <c r="GG1828" s="84"/>
      <c r="GH1828" s="84"/>
    </row>
    <row r="1829" spans="187:190" s="2" customFormat="1" ht="18" customHeight="1" x14ac:dyDescent="0.2">
      <c r="GE1829" s="84"/>
      <c r="GF1829" s="84"/>
      <c r="GG1829" s="84"/>
      <c r="GH1829" s="84"/>
    </row>
    <row r="1830" spans="187:190" s="2" customFormat="1" ht="18" customHeight="1" x14ac:dyDescent="0.2">
      <c r="GE1830" s="84"/>
      <c r="GF1830" s="84"/>
      <c r="GG1830" s="84"/>
      <c r="GH1830" s="84"/>
    </row>
    <row r="1831" spans="187:190" s="2" customFormat="1" ht="18" customHeight="1" x14ac:dyDescent="0.2">
      <c r="GE1831" s="84"/>
      <c r="GF1831" s="84"/>
      <c r="GG1831" s="84"/>
      <c r="GH1831" s="84"/>
    </row>
    <row r="1832" spans="187:190" s="2" customFormat="1" ht="18" customHeight="1" x14ac:dyDescent="0.2">
      <c r="GE1832" s="84"/>
      <c r="GF1832" s="84"/>
      <c r="GG1832" s="84"/>
      <c r="GH1832" s="84"/>
    </row>
    <row r="1833" spans="187:190" s="2" customFormat="1" ht="18" customHeight="1" x14ac:dyDescent="0.2">
      <c r="GE1833" s="84"/>
      <c r="GF1833" s="84"/>
      <c r="GG1833" s="84"/>
      <c r="GH1833" s="84"/>
    </row>
    <row r="1834" spans="187:190" s="2" customFormat="1" ht="18" customHeight="1" x14ac:dyDescent="0.2">
      <c r="GE1834" s="84"/>
      <c r="GF1834" s="84"/>
      <c r="GG1834" s="84"/>
      <c r="GH1834" s="84"/>
    </row>
    <row r="1835" spans="187:190" s="2" customFormat="1" ht="18" customHeight="1" x14ac:dyDescent="0.2">
      <c r="GE1835" s="84"/>
      <c r="GF1835" s="84"/>
      <c r="GG1835" s="84"/>
      <c r="GH1835" s="84"/>
    </row>
    <row r="1836" spans="187:190" s="2" customFormat="1" ht="18" customHeight="1" x14ac:dyDescent="0.2">
      <c r="GE1836" s="84"/>
      <c r="GF1836" s="84"/>
      <c r="GG1836" s="84"/>
      <c r="GH1836" s="84"/>
    </row>
    <row r="1837" spans="187:190" s="2" customFormat="1" ht="18" customHeight="1" x14ac:dyDescent="0.2">
      <c r="GE1837" s="84"/>
      <c r="GF1837" s="84"/>
      <c r="GG1837" s="84"/>
      <c r="GH1837" s="84"/>
    </row>
    <row r="1838" spans="187:190" s="2" customFormat="1" ht="18" customHeight="1" x14ac:dyDescent="0.2">
      <c r="GE1838" s="84"/>
      <c r="GF1838" s="84"/>
      <c r="GG1838" s="84"/>
      <c r="GH1838" s="84"/>
    </row>
    <row r="1839" spans="187:190" s="2" customFormat="1" ht="18" customHeight="1" x14ac:dyDescent="0.2">
      <c r="GE1839" s="84"/>
      <c r="GF1839" s="84"/>
      <c r="GG1839" s="84"/>
      <c r="GH1839" s="84"/>
    </row>
    <row r="1840" spans="187:190" s="2" customFormat="1" ht="18" customHeight="1" x14ac:dyDescent="0.2">
      <c r="GE1840" s="84"/>
      <c r="GF1840" s="84"/>
      <c r="GG1840" s="84"/>
      <c r="GH1840" s="84"/>
    </row>
    <row r="1841" spans="187:190" s="2" customFormat="1" ht="18" customHeight="1" x14ac:dyDescent="0.2">
      <c r="GE1841" s="84"/>
      <c r="GF1841" s="84"/>
      <c r="GG1841" s="84"/>
      <c r="GH1841" s="84"/>
    </row>
    <row r="1842" spans="187:190" s="2" customFormat="1" ht="18" customHeight="1" x14ac:dyDescent="0.2">
      <c r="GE1842" s="84"/>
      <c r="GF1842" s="84"/>
      <c r="GG1842" s="84"/>
      <c r="GH1842" s="84"/>
    </row>
    <row r="1843" spans="187:190" s="2" customFormat="1" ht="18" customHeight="1" x14ac:dyDescent="0.2">
      <c r="GE1843" s="84"/>
      <c r="GF1843" s="84"/>
      <c r="GG1843" s="84"/>
      <c r="GH1843" s="84"/>
    </row>
    <row r="1844" spans="187:190" s="2" customFormat="1" ht="18" customHeight="1" x14ac:dyDescent="0.2">
      <c r="GE1844" s="84"/>
      <c r="GF1844" s="84"/>
      <c r="GG1844" s="84"/>
      <c r="GH1844" s="84"/>
    </row>
    <row r="1845" spans="187:190" s="2" customFormat="1" ht="18" customHeight="1" x14ac:dyDescent="0.2">
      <c r="GE1845" s="84"/>
      <c r="GF1845" s="84"/>
      <c r="GG1845" s="84"/>
      <c r="GH1845" s="84"/>
    </row>
    <row r="1846" spans="187:190" s="2" customFormat="1" ht="18" customHeight="1" x14ac:dyDescent="0.2">
      <c r="GE1846" s="84"/>
      <c r="GF1846" s="84"/>
      <c r="GG1846" s="84"/>
      <c r="GH1846" s="84"/>
    </row>
    <row r="1847" spans="187:190" s="2" customFormat="1" ht="18" customHeight="1" x14ac:dyDescent="0.2">
      <c r="GE1847" s="84"/>
      <c r="GF1847" s="84"/>
      <c r="GG1847" s="84"/>
      <c r="GH1847" s="84"/>
    </row>
    <row r="1848" spans="187:190" s="2" customFormat="1" ht="18" customHeight="1" x14ac:dyDescent="0.2">
      <c r="GE1848" s="84"/>
      <c r="GF1848" s="84"/>
      <c r="GG1848" s="84"/>
      <c r="GH1848" s="84"/>
    </row>
    <row r="1849" spans="187:190" s="2" customFormat="1" ht="18" customHeight="1" x14ac:dyDescent="0.2">
      <c r="GE1849" s="84"/>
      <c r="GF1849" s="84"/>
      <c r="GG1849" s="84"/>
      <c r="GH1849" s="84"/>
    </row>
    <row r="1850" spans="187:190" s="2" customFormat="1" ht="18" customHeight="1" x14ac:dyDescent="0.2">
      <c r="GE1850" s="84"/>
      <c r="GF1850" s="84"/>
      <c r="GG1850" s="84"/>
      <c r="GH1850" s="84"/>
    </row>
    <row r="1851" spans="187:190" s="2" customFormat="1" ht="18" customHeight="1" x14ac:dyDescent="0.2">
      <c r="GE1851" s="84"/>
      <c r="GF1851" s="84"/>
      <c r="GG1851" s="84"/>
      <c r="GH1851" s="84"/>
    </row>
    <row r="1852" spans="187:190" s="2" customFormat="1" ht="18" customHeight="1" x14ac:dyDescent="0.2">
      <c r="GE1852" s="84"/>
      <c r="GF1852" s="84"/>
      <c r="GG1852" s="84"/>
      <c r="GH1852" s="84"/>
    </row>
    <row r="1853" spans="187:190" s="2" customFormat="1" ht="18" customHeight="1" x14ac:dyDescent="0.2">
      <c r="GE1853" s="84"/>
      <c r="GF1853" s="84"/>
      <c r="GG1853" s="84"/>
      <c r="GH1853" s="84"/>
    </row>
    <row r="1854" spans="187:190" s="2" customFormat="1" ht="18" customHeight="1" x14ac:dyDescent="0.2">
      <c r="GE1854" s="84"/>
      <c r="GF1854" s="84"/>
      <c r="GG1854" s="84"/>
      <c r="GH1854" s="84"/>
    </row>
    <row r="1855" spans="187:190" s="2" customFormat="1" ht="18" customHeight="1" x14ac:dyDescent="0.2">
      <c r="GE1855" s="84"/>
      <c r="GF1855" s="84"/>
      <c r="GG1855" s="84"/>
      <c r="GH1855" s="84"/>
    </row>
    <row r="1856" spans="187:190" s="2" customFormat="1" ht="18" customHeight="1" x14ac:dyDescent="0.2">
      <c r="GE1856" s="84"/>
      <c r="GF1856" s="84"/>
      <c r="GG1856" s="84"/>
      <c r="GH1856" s="84"/>
    </row>
    <row r="1857" spans="187:190" s="2" customFormat="1" ht="18" customHeight="1" x14ac:dyDescent="0.2">
      <c r="GE1857" s="84"/>
      <c r="GF1857" s="84"/>
      <c r="GG1857" s="84"/>
      <c r="GH1857" s="84"/>
    </row>
    <row r="1858" spans="187:190" s="2" customFormat="1" ht="18" customHeight="1" x14ac:dyDescent="0.2">
      <c r="GE1858" s="84"/>
      <c r="GF1858" s="84"/>
      <c r="GG1858" s="84"/>
      <c r="GH1858" s="84"/>
    </row>
    <row r="1859" spans="187:190" s="2" customFormat="1" ht="18" customHeight="1" x14ac:dyDescent="0.2">
      <c r="GE1859" s="84"/>
      <c r="GF1859" s="84"/>
      <c r="GG1859" s="84"/>
      <c r="GH1859" s="84"/>
    </row>
    <row r="1860" spans="187:190" s="2" customFormat="1" ht="18" customHeight="1" x14ac:dyDescent="0.2">
      <c r="GE1860" s="84"/>
      <c r="GF1860" s="84"/>
      <c r="GG1860" s="84"/>
      <c r="GH1860" s="84"/>
    </row>
    <row r="1861" spans="187:190" s="2" customFormat="1" ht="18" customHeight="1" x14ac:dyDescent="0.2">
      <c r="GE1861" s="84"/>
      <c r="GF1861" s="84"/>
      <c r="GG1861" s="84"/>
      <c r="GH1861" s="84"/>
    </row>
    <row r="1862" spans="187:190" s="2" customFormat="1" ht="18" customHeight="1" x14ac:dyDescent="0.2">
      <c r="GE1862" s="84"/>
      <c r="GF1862" s="84"/>
      <c r="GG1862" s="84"/>
      <c r="GH1862" s="84"/>
    </row>
    <row r="1863" spans="187:190" s="2" customFormat="1" ht="18" customHeight="1" x14ac:dyDescent="0.2">
      <c r="GE1863" s="84"/>
      <c r="GF1863" s="84"/>
      <c r="GG1863" s="84"/>
      <c r="GH1863" s="84"/>
    </row>
    <row r="1864" spans="187:190" s="2" customFormat="1" ht="18" customHeight="1" x14ac:dyDescent="0.2">
      <c r="GE1864" s="84"/>
      <c r="GF1864" s="84"/>
      <c r="GG1864" s="84"/>
      <c r="GH1864" s="84"/>
    </row>
    <row r="1865" spans="187:190" s="2" customFormat="1" ht="18" customHeight="1" x14ac:dyDescent="0.2">
      <c r="GE1865" s="84"/>
      <c r="GF1865" s="84"/>
      <c r="GG1865" s="84"/>
      <c r="GH1865" s="84"/>
    </row>
    <row r="1866" spans="187:190" s="2" customFormat="1" ht="18" customHeight="1" x14ac:dyDescent="0.2">
      <c r="GE1866" s="84"/>
      <c r="GF1866" s="84"/>
      <c r="GG1866" s="84"/>
      <c r="GH1866" s="84"/>
    </row>
    <row r="1867" spans="187:190" s="2" customFormat="1" ht="18" customHeight="1" x14ac:dyDescent="0.2">
      <c r="GE1867" s="84"/>
      <c r="GF1867" s="84"/>
      <c r="GG1867" s="84"/>
      <c r="GH1867" s="84"/>
    </row>
    <row r="1868" spans="187:190" s="2" customFormat="1" ht="18" customHeight="1" x14ac:dyDescent="0.2">
      <c r="GE1868" s="84"/>
      <c r="GF1868" s="84"/>
      <c r="GG1868" s="84"/>
      <c r="GH1868" s="84"/>
    </row>
    <row r="1869" spans="187:190" s="2" customFormat="1" ht="18" customHeight="1" x14ac:dyDescent="0.2">
      <c r="GE1869" s="84"/>
      <c r="GF1869" s="84"/>
      <c r="GG1869" s="84"/>
      <c r="GH1869" s="84"/>
    </row>
    <row r="1870" spans="187:190" s="2" customFormat="1" ht="18" customHeight="1" x14ac:dyDescent="0.2">
      <c r="GE1870" s="84"/>
      <c r="GF1870" s="84"/>
      <c r="GG1870" s="84"/>
      <c r="GH1870" s="84"/>
    </row>
    <row r="1871" spans="187:190" s="2" customFormat="1" ht="18" customHeight="1" x14ac:dyDescent="0.2">
      <c r="GE1871" s="84"/>
      <c r="GF1871" s="84"/>
      <c r="GG1871" s="84"/>
      <c r="GH1871" s="84"/>
    </row>
    <row r="1872" spans="187:190" s="2" customFormat="1" ht="18" customHeight="1" x14ac:dyDescent="0.2">
      <c r="GE1872" s="84"/>
      <c r="GF1872" s="84"/>
      <c r="GG1872" s="84"/>
      <c r="GH1872" s="84"/>
    </row>
    <row r="1873" spans="187:190" s="2" customFormat="1" ht="18" customHeight="1" x14ac:dyDescent="0.2">
      <c r="GE1873" s="84"/>
      <c r="GF1873" s="84"/>
      <c r="GG1873" s="84"/>
      <c r="GH1873" s="84"/>
    </row>
    <row r="1874" spans="187:190" s="2" customFormat="1" ht="18" customHeight="1" x14ac:dyDescent="0.2">
      <c r="GE1874" s="84"/>
      <c r="GF1874" s="84"/>
      <c r="GG1874" s="84"/>
      <c r="GH1874" s="84"/>
    </row>
    <row r="1875" spans="187:190" s="2" customFormat="1" ht="18" customHeight="1" x14ac:dyDescent="0.2">
      <c r="GE1875" s="84"/>
      <c r="GF1875" s="84"/>
      <c r="GG1875" s="84"/>
      <c r="GH1875" s="84"/>
    </row>
    <row r="1876" spans="187:190" s="2" customFormat="1" ht="18" customHeight="1" x14ac:dyDescent="0.2">
      <c r="GE1876" s="84"/>
      <c r="GF1876" s="84"/>
      <c r="GG1876" s="84"/>
      <c r="GH1876" s="84"/>
    </row>
    <row r="1877" spans="187:190" s="2" customFormat="1" ht="18" customHeight="1" x14ac:dyDescent="0.2">
      <c r="GE1877" s="84"/>
      <c r="GF1877" s="84"/>
      <c r="GG1877" s="84"/>
      <c r="GH1877" s="84"/>
    </row>
    <row r="1878" spans="187:190" s="2" customFormat="1" ht="18" customHeight="1" x14ac:dyDescent="0.2">
      <c r="GE1878" s="84"/>
      <c r="GF1878" s="84"/>
      <c r="GG1878" s="84"/>
      <c r="GH1878" s="84"/>
    </row>
    <row r="1879" spans="187:190" s="2" customFormat="1" ht="18" customHeight="1" x14ac:dyDescent="0.2">
      <c r="GE1879" s="84"/>
      <c r="GF1879" s="84"/>
      <c r="GG1879" s="84"/>
      <c r="GH1879" s="84"/>
    </row>
    <row r="1880" spans="187:190" s="2" customFormat="1" ht="18" customHeight="1" x14ac:dyDescent="0.2">
      <c r="GE1880" s="84"/>
      <c r="GF1880" s="84"/>
      <c r="GG1880" s="84"/>
      <c r="GH1880" s="84"/>
    </row>
    <row r="1881" spans="187:190" s="2" customFormat="1" ht="18" customHeight="1" x14ac:dyDescent="0.2">
      <c r="GE1881" s="84"/>
      <c r="GF1881" s="84"/>
      <c r="GG1881" s="84"/>
      <c r="GH1881" s="84"/>
    </row>
    <row r="1882" spans="187:190" s="2" customFormat="1" ht="18" customHeight="1" x14ac:dyDescent="0.2">
      <c r="GE1882" s="84"/>
      <c r="GF1882" s="84"/>
      <c r="GG1882" s="84"/>
      <c r="GH1882" s="84"/>
    </row>
    <row r="1883" spans="187:190" s="2" customFormat="1" ht="18" customHeight="1" x14ac:dyDescent="0.2">
      <c r="GE1883" s="84"/>
      <c r="GF1883" s="84"/>
      <c r="GG1883" s="84"/>
      <c r="GH1883" s="84"/>
    </row>
    <row r="1884" spans="187:190" s="2" customFormat="1" ht="18" customHeight="1" x14ac:dyDescent="0.2">
      <c r="GE1884" s="84"/>
      <c r="GF1884" s="84"/>
      <c r="GG1884" s="84"/>
      <c r="GH1884" s="84"/>
    </row>
    <row r="1885" spans="187:190" s="2" customFormat="1" ht="18" customHeight="1" x14ac:dyDescent="0.2">
      <c r="GE1885" s="84"/>
      <c r="GF1885" s="84"/>
      <c r="GG1885" s="84"/>
      <c r="GH1885" s="84"/>
    </row>
    <row r="1886" spans="187:190" s="2" customFormat="1" ht="18" customHeight="1" x14ac:dyDescent="0.2">
      <c r="GE1886" s="84"/>
      <c r="GF1886" s="84"/>
      <c r="GG1886" s="84"/>
      <c r="GH1886" s="84"/>
    </row>
    <row r="1887" spans="187:190" s="2" customFormat="1" ht="18" customHeight="1" x14ac:dyDescent="0.2">
      <c r="GE1887" s="84"/>
      <c r="GF1887" s="84"/>
      <c r="GG1887" s="84"/>
      <c r="GH1887" s="84"/>
    </row>
    <row r="1888" spans="187:190" s="2" customFormat="1" ht="18" customHeight="1" x14ac:dyDescent="0.2">
      <c r="GE1888" s="84"/>
      <c r="GF1888" s="84"/>
      <c r="GG1888" s="84"/>
      <c r="GH1888" s="84"/>
    </row>
    <row r="1889" spans="187:190" s="2" customFormat="1" ht="18" customHeight="1" x14ac:dyDescent="0.2">
      <c r="GE1889" s="84"/>
      <c r="GF1889" s="84"/>
      <c r="GG1889" s="84"/>
      <c r="GH1889" s="84"/>
    </row>
    <row r="1890" spans="187:190" s="2" customFormat="1" ht="18" customHeight="1" x14ac:dyDescent="0.2">
      <c r="GE1890" s="84"/>
      <c r="GF1890" s="84"/>
      <c r="GG1890" s="84"/>
      <c r="GH1890" s="84"/>
    </row>
    <row r="1891" spans="187:190" s="2" customFormat="1" ht="18" customHeight="1" x14ac:dyDescent="0.2">
      <c r="GE1891" s="84"/>
      <c r="GF1891" s="84"/>
      <c r="GG1891" s="84"/>
      <c r="GH1891" s="84"/>
    </row>
    <row r="1892" spans="187:190" s="2" customFormat="1" ht="18" customHeight="1" x14ac:dyDescent="0.2">
      <c r="GE1892" s="84"/>
      <c r="GF1892" s="84"/>
      <c r="GG1892" s="84"/>
      <c r="GH1892" s="84"/>
    </row>
    <row r="1893" spans="187:190" s="2" customFormat="1" ht="18" customHeight="1" x14ac:dyDescent="0.2">
      <c r="GE1893" s="84"/>
      <c r="GF1893" s="84"/>
      <c r="GG1893" s="84"/>
      <c r="GH1893" s="84"/>
    </row>
    <row r="1894" spans="187:190" s="2" customFormat="1" ht="18" customHeight="1" x14ac:dyDescent="0.2">
      <c r="GE1894" s="84"/>
      <c r="GF1894" s="84"/>
      <c r="GG1894" s="84"/>
      <c r="GH1894" s="84"/>
    </row>
    <row r="1895" spans="187:190" s="2" customFormat="1" ht="18" customHeight="1" x14ac:dyDescent="0.2">
      <c r="GE1895" s="84"/>
      <c r="GF1895" s="84"/>
      <c r="GG1895" s="84"/>
      <c r="GH1895" s="84"/>
    </row>
    <row r="1896" spans="187:190" s="2" customFormat="1" ht="18" customHeight="1" x14ac:dyDescent="0.2">
      <c r="GE1896" s="84"/>
      <c r="GF1896" s="84"/>
      <c r="GG1896" s="84"/>
      <c r="GH1896" s="84"/>
    </row>
    <row r="1897" spans="187:190" s="2" customFormat="1" ht="18" customHeight="1" x14ac:dyDescent="0.2">
      <c r="GE1897" s="84"/>
      <c r="GF1897" s="84"/>
      <c r="GG1897" s="84"/>
      <c r="GH1897" s="84"/>
    </row>
    <row r="1898" spans="187:190" s="2" customFormat="1" ht="18" customHeight="1" x14ac:dyDescent="0.2">
      <c r="GE1898" s="84"/>
      <c r="GF1898" s="84"/>
      <c r="GG1898" s="84"/>
      <c r="GH1898" s="84"/>
    </row>
    <row r="1899" spans="187:190" s="2" customFormat="1" ht="18" customHeight="1" x14ac:dyDescent="0.2">
      <c r="GE1899" s="84"/>
      <c r="GF1899" s="84"/>
      <c r="GG1899" s="84"/>
      <c r="GH1899" s="84"/>
    </row>
    <row r="1900" spans="187:190" s="2" customFormat="1" ht="18" customHeight="1" x14ac:dyDescent="0.2">
      <c r="GE1900" s="84"/>
      <c r="GF1900" s="84"/>
      <c r="GG1900" s="84"/>
      <c r="GH1900" s="84"/>
    </row>
    <row r="1901" spans="187:190" s="2" customFormat="1" ht="18" customHeight="1" x14ac:dyDescent="0.2">
      <c r="GE1901" s="84"/>
      <c r="GF1901" s="84"/>
      <c r="GG1901" s="84"/>
      <c r="GH1901" s="84"/>
    </row>
    <row r="1902" spans="187:190" s="2" customFormat="1" ht="18" customHeight="1" x14ac:dyDescent="0.2">
      <c r="GE1902" s="84"/>
      <c r="GF1902" s="84"/>
      <c r="GG1902" s="84"/>
      <c r="GH1902" s="84"/>
    </row>
    <row r="1903" spans="187:190" s="2" customFormat="1" ht="18" customHeight="1" x14ac:dyDescent="0.2">
      <c r="GE1903" s="84"/>
      <c r="GF1903" s="84"/>
      <c r="GG1903" s="84"/>
      <c r="GH1903" s="84"/>
    </row>
    <row r="1904" spans="187:190" s="2" customFormat="1" ht="18" customHeight="1" x14ac:dyDescent="0.2">
      <c r="GE1904" s="84"/>
      <c r="GF1904" s="84"/>
      <c r="GG1904" s="84"/>
      <c r="GH1904" s="84"/>
    </row>
    <row r="1905" spans="187:190" s="2" customFormat="1" ht="18" customHeight="1" x14ac:dyDescent="0.2">
      <c r="GE1905" s="84"/>
      <c r="GF1905" s="84"/>
      <c r="GG1905" s="84"/>
      <c r="GH1905" s="84"/>
    </row>
    <row r="1906" spans="187:190" s="2" customFormat="1" ht="18" customHeight="1" x14ac:dyDescent="0.2">
      <c r="GE1906" s="84"/>
      <c r="GF1906" s="84"/>
      <c r="GG1906" s="84"/>
      <c r="GH1906" s="84"/>
    </row>
    <row r="1907" spans="187:190" s="2" customFormat="1" ht="18" customHeight="1" x14ac:dyDescent="0.2">
      <c r="GE1907" s="84"/>
      <c r="GF1907" s="84"/>
      <c r="GG1907" s="84"/>
      <c r="GH1907" s="84"/>
    </row>
    <row r="1908" spans="187:190" s="2" customFormat="1" ht="18" customHeight="1" x14ac:dyDescent="0.2">
      <c r="GE1908" s="84"/>
      <c r="GF1908" s="84"/>
      <c r="GG1908" s="84"/>
      <c r="GH1908" s="84"/>
    </row>
    <row r="1909" spans="187:190" s="2" customFormat="1" ht="18" customHeight="1" x14ac:dyDescent="0.2">
      <c r="GE1909" s="84"/>
      <c r="GF1909" s="84"/>
      <c r="GG1909" s="84"/>
      <c r="GH1909" s="84"/>
    </row>
    <row r="1910" spans="187:190" s="2" customFormat="1" ht="18" customHeight="1" x14ac:dyDescent="0.2">
      <c r="GE1910" s="84"/>
      <c r="GF1910" s="84"/>
      <c r="GG1910" s="84"/>
      <c r="GH1910" s="84"/>
    </row>
    <row r="1911" spans="187:190" s="2" customFormat="1" ht="18" customHeight="1" x14ac:dyDescent="0.2">
      <c r="GE1911" s="84"/>
      <c r="GF1911" s="84"/>
      <c r="GG1911" s="84"/>
      <c r="GH1911" s="84"/>
    </row>
    <row r="1912" spans="187:190" s="2" customFormat="1" ht="18" customHeight="1" x14ac:dyDescent="0.2">
      <c r="GE1912" s="84"/>
      <c r="GF1912" s="84"/>
      <c r="GG1912" s="84"/>
      <c r="GH1912" s="84"/>
    </row>
    <row r="1913" spans="187:190" s="2" customFormat="1" ht="18" customHeight="1" x14ac:dyDescent="0.2">
      <c r="GE1913" s="84"/>
      <c r="GF1913" s="84"/>
      <c r="GG1913" s="84"/>
      <c r="GH1913" s="84"/>
    </row>
    <row r="1914" spans="187:190" s="2" customFormat="1" ht="18" customHeight="1" x14ac:dyDescent="0.2">
      <c r="GE1914" s="84"/>
      <c r="GF1914" s="84"/>
      <c r="GG1914" s="84"/>
      <c r="GH1914" s="84"/>
    </row>
    <row r="1915" spans="187:190" s="2" customFormat="1" ht="18" customHeight="1" x14ac:dyDescent="0.2">
      <c r="GE1915" s="84"/>
      <c r="GF1915" s="84"/>
      <c r="GG1915" s="84"/>
      <c r="GH1915" s="84"/>
    </row>
    <row r="1916" spans="187:190" s="2" customFormat="1" ht="18" customHeight="1" x14ac:dyDescent="0.2">
      <c r="GE1916" s="84"/>
      <c r="GF1916" s="84"/>
      <c r="GG1916" s="84"/>
      <c r="GH1916" s="84"/>
    </row>
    <row r="1917" spans="187:190" s="2" customFormat="1" ht="18" customHeight="1" x14ac:dyDescent="0.2">
      <c r="GE1917" s="84"/>
      <c r="GF1917" s="84"/>
      <c r="GG1917" s="84"/>
      <c r="GH1917" s="84"/>
    </row>
    <row r="1918" spans="187:190" s="2" customFormat="1" ht="18" customHeight="1" x14ac:dyDescent="0.2">
      <c r="GE1918" s="84"/>
      <c r="GF1918" s="84"/>
      <c r="GG1918" s="84"/>
      <c r="GH1918" s="84"/>
    </row>
    <row r="1919" spans="187:190" s="2" customFormat="1" ht="18" customHeight="1" x14ac:dyDescent="0.2">
      <c r="GE1919" s="84"/>
      <c r="GF1919" s="84"/>
      <c r="GG1919" s="84"/>
      <c r="GH1919" s="84"/>
    </row>
    <row r="1920" spans="187:190" s="2" customFormat="1" ht="18" customHeight="1" x14ac:dyDescent="0.2">
      <c r="GE1920" s="84"/>
      <c r="GF1920" s="84"/>
      <c r="GG1920" s="84"/>
      <c r="GH1920" s="84"/>
    </row>
    <row r="1921" spans="187:190" s="2" customFormat="1" ht="18" customHeight="1" x14ac:dyDescent="0.2">
      <c r="GE1921" s="84"/>
      <c r="GF1921" s="84"/>
      <c r="GG1921" s="84"/>
      <c r="GH1921" s="84"/>
    </row>
    <row r="1922" spans="187:190" s="2" customFormat="1" ht="18" customHeight="1" x14ac:dyDescent="0.2">
      <c r="GE1922" s="84"/>
      <c r="GF1922" s="84"/>
      <c r="GG1922" s="84"/>
      <c r="GH1922" s="84"/>
    </row>
    <row r="1923" spans="187:190" s="2" customFormat="1" ht="18" customHeight="1" x14ac:dyDescent="0.2">
      <c r="GE1923" s="84"/>
      <c r="GF1923" s="84"/>
      <c r="GG1923" s="84"/>
      <c r="GH1923" s="84"/>
    </row>
    <row r="1924" spans="187:190" s="2" customFormat="1" ht="18" customHeight="1" x14ac:dyDescent="0.2">
      <c r="GE1924" s="84"/>
      <c r="GF1924" s="84"/>
      <c r="GG1924" s="84"/>
      <c r="GH1924" s="84"/>
    </row>
    <row r="1925" spans="187:190" s="2" customFormat="1" ht="18" customHeight="1" x14ac:dyDescent="0.2">
      <c r="GE1925" s="84"/>
      <c r="GF1925" s="84"/>
      <c r="GG1925" s="84"/>
      <c r="GH1925" s="84"/>
    </row>
    <row r="1926" spans="187:190" s="2" customFormat="1" ht="18" customHeight="1" x14ac:dyDescent="0.2">
      <c r="GE1926" s="84"/>
      <c r="GF1926" s="84"/>
      <c r="GG1926" s="84"/>
      <c r="GH1926" s="84"/>
    </row>
    <row r="1927" spans="187:190" s="2" customFormat="1" ht="18" customHeight="1" x14ac:dyDescent="0.2">
      <c r="GE1927" s="84"/>
      <c r="GF1927" s="84"/>
      <c r="GG1927" s="84"/>
      <c r="GH1927" s="84"/>
    </row>
    <row r="1928" spans="187:190" s="2" customFormat="1" ht="18" customHeight="1" x14ac:dyDescent="0.2">
      <c r="GE1928" s="84"/>
      <c r="GF1928" s="84"/>
      <c r="GG1928" s="84"/>
      <c r="GH1928" s="84"/>
    </row>
    <row r="1929" spans="187:190" s="2" customFormat="1" ht="18" customHeight="1" x14ac:dyDescent="0.2">
      <c r="GE1929" s="84"/>
      <c r="GF1929" s="84"/>
      <c r="GG1929" s="84"/>
      <c r="GH1929" s="84"/>
    </row>
    <row r="1930" spans="187:190" s="2" customFormat="1" ht="18" customHeight="1" x14ac:dyDescent="0.2">
      <c r="GE1930" s="84"/>
      <c r="GF1930" s="84"/>
      <c r="GG1930" s="84"/>
      <c r="GH1930" s="84"/>
    </row>
    <row r="1931" spans="187:190" s="2" customFormat="1" ht="18" customHeight="1" x14ac:dyDescent="0.2">
      <c r="GE1931" s="84"/>
      <c r="GF1931" s="84"/>
      <c r="GG1931" s="84"/>
      <c r="GH1931" s="84"/>
    </row>
    <row r="1932" spans="187:190" s="2" customFormat="1" ht="18" customHeight="1" x14ac:dyDescent="0.2">
      <c r="GE1932" s="84"/>
      <c r="GF1932" s="84"/>
      <c r="GG1932" s="84"/>
      <c r="GH1932" s="84"/>
    </row>
    <row r="1933" spans="187:190" s="2" customFormat="1" ht="18" customHeight="1" x14ac:dyDescent="0.2">
      <c r="GE1933" s="84"/>
      <c r="GF1933" s="84"/>
      <c r="GG1933" s="84"/>
      <c r="GH1933" s="84"/>
    </row>
    <row r="1934" spans="187:190" s="2" customFormat="1" ht="18" customHeight="1" x14ac:dyDescent="0.2">
      <c r="GE1934" s="84"/>
      <c r="GF1934" s="84"/>
      <c r="GG1934" s="84"/>
      <c r="GH1934" s="84"/>
    </row>
    <row r="1935" spans="187:190" s="2" customFormat="1" ht="18" customHeight="1" x14ac:dyDescent="0.2">
      <c r="GE1935" s="84"/>
      <c r="GF1935" s="84"/>
      <c r="GG1935" s="84"/>
      <c r="GH1935" s="84"/>
    </row>
    <row r="1936" spans="187:190" s="2" customFormat="1" ht="18" customHeight="1" x14ac:dyDescent="0.2">
      <c r="GE1936" s="84"/>
      <c r="GF1936" s="84"/>
      <c r="GG1936" s="84"/>
      <c r="GH1936" s="84"/>
    </row>
    <row r="1937" spans="187:190" s="2" customFormat="1" ht="18" customHeight="1" x14ac:dyDescent="0.2">
      <c r="GE1937" s="84"/>
      <c r="GF1937" s="84"/>
      <c r="GG1937" s="84"/>
      <c r="GH1937" s="84"/>
    </row>
    <row r="1938" spans="187:190" s="2" customFormat="1" ht="18" customHeight="1" x14ac:dyDescent="0.2">
      <c r="GE1938" s="84"/>
      <c r="GF1938" s="84"/>
      <c r="GG1938" s="84"/>
      <c r="GH1938" s="84"/>
    </row>
    <row r="1939" spans="187:190" s="2" customFormat="1" ht="18" customHeight="1" x14ac:dyDescent="0.2">
      <c r="GE1939" s="84"/>
      <c r="GF1939" s="84"/>
      <c r="GG1939" s="84"/>
      <c r="GH1939" s="84"/>
    </row>
    <row r="1940" spans="187:190" s="2" customFormat="1" ht="18" customHeight="1" x14ac:dyDescent="0.2">
      <c r="GE1940" s="84"/>
      <c r="GF1940" s="84"/>
      <c r="GG1940" s="84"/>
      <c r="GH1940" s="84"/>
    </row>
    <row r="1941" spans="187:190" s="2" customFormat="1" ht="18" customHeight="1" x14ac:dyDescent="0.2">
      <c r="GE1941" s="84"/>
      <c r="GF1941" s="84"/>
      <c r="GG1941" s="84"/>
      <c r="GH1941" s="84"/>
    </row>
    <row r="1942" spans="187:190" s="2" customFormat="1" ht="18" customHeight="1" x14ac:dyDescent="0.2">
      <c r="GE1942" s="84"/>
      <c r="GF1942" s="84"/>
      <c r="GG1942" s="84"/>
      <c r="GH1942" s="84"/>
    </row>
    <row r="1943" spans="187:190" s="2" customFormat="1" ht="18" customHeight="1" x14ac:dyDescent="0.2">
      <c r="GE1943" s="84"/>
      <c r="GF1943" s="84"/>
      <c r="GG1943" s="84"/>
      <c r="GH1943" s="84"/>
    </row>
    <row r="1944" spans="187:190" s="2" customFormat="1" ht="18" customHeight="1" x14ac:dyDescent="0.2">
      <c r="GE1944" s="84"/>
      <c r="GF1944" s="84"/>
      <c r="GG1944" s="84"/>
      <c r="GH1944" s="84"/>
    </row>
    <row r="1945" spans="187:190" s="2" customFormat="1" ht="18" customHeight="1" x14ac:dyDescent="0.2">
      <c r="GE1945" s="84"/>
      <c r="GF1945" s="84"/>
      <c r="GG1945" s="84"/>
      <c r="GH1945" s="84"/>
    </row>
    <row r="1946" spans="187:190" s="2" customFormat="1" ht="18" customHeight="1" x14ac:dyDescent="0.2">
      <c r="GE1946" s="84"/>
      <c r="GF1946" s="84"/>
      <c r="GG1946" s="84"/>
      <c r="GH1946" s="84"/>
    </row>
    <row r="1947" spans="187:190" s="2" customFormat="1" ht="18" customHeight="1" x14ac:dyDescent="0.2">
      <c r="GE1947" s="84"/>
      <c r="GF1947" s="84"/>
      <c r="GG1947" s="84"/>
      <c r="GH1947" s="84"/>
    </row>
    <row r="1948" spans="187:190" s="2" customFormat="1" ht="18" customHeight="1" x14ac:dyDescent="0.2">
      <c r="GE1948" s="84"/>
      <c r="GF1948" s="84"/>
      <c r="GG1948" s="84"/>
      <c r="GH1948" s="84"/>
    </row>
    <row r="1949" spans="187:190" s="2" customFormat="1" ht="18" customHeight="1" x14ac:dyDescent="0.2">
      <c r="GE1949" s="84"/>
      <c r="GF1949" s="84"/>
      <c r="GG1949" s="84"/>
      <c r="GH1949" s="84"/>
    </row>
    <row r="1950" spans="187:190" s="2" customFormat="1" ht="18" customHeight="1" x14ac:dyDescent="0.2">
      <c r="GE1950" s="84"/>
      <c r="GF1950" s="84"/>
      <c r="GG1950" s="84"/>
      <c r="GH1950" s="84"/>
    </row>
    <row r="1951" spans="187:190" s="2" customFormat="1" ht="18" customHeight="1" x14ac:dyDescent="0.2">
      <c r="GE1951" s="84"/>
      <c r="GF1951" s="84"/>
      <c r="GG1951" s="84"/>
      <c r="GH1951" s="84"/>
    </row>
    <row r="1952" spans="187:190" s="2" customFormat="1" ht="18" customHeight="1" x14ac:dyDescent="0.2">
      <c r="GE1952" s="84"/>
      <c r="GF1952" s="84"/>
      <c r="GG1952" s="84"/>
      <c r="GH1952" s="84"/>
    </row>
    <row r="1953" spans="187:190" s="2" customFormat="1" ht="18" customHeight="1" x14ac:dyDescent="0.2">
      <c r="GE1953" s="84"/>
      <c r="GF1953" s="84"/>
      <c r="GG1953" s="84"/>
      <c r="GH1953" s="84"/>
    </row>
    <row r="1954" spans="187:190" s="2" customFormat="1" ht="18" customHeight="1" x14ac:dyDescent="0.2">
      <c r="GE1954" s="84"/>
      <c r="GF1954" s="84"/>
      <c r="GG1954" s="84"/>
      <c r="GH1954" s="84"/>
    </row>
    <row r="1955" spans="187:190" s="2" customFormat="1" ht="18" customHeight="1" x14ac:dyDescent="0.2">
      <c r="GE1955" s="84"/>
      <c r="GF1955" s="84"/>
      <c r="GG1955" s="84"/>
      <c r="GH1955" s="84"/>
    </row>
    <row r="1956" spans="187:190" s="2" customFormat="1" ht="18" customHeight="1" x14ac:dyDescent="0.2">
      <c r="GE1956" s="84"/>
      <c r="GF1956" s="84"/>
      <c r="GG1956" s="84"/>
      <c r="GH1956" s="84"/>
    </row>
    <row r="1957" spans="187:190" s="2" customFormat="1" ht="18" customHeight="1" x14ac:dyDescent="0.2">
      <c r="GE1957" s="84"/>
      <c r="GF1957" s="84"/>
      <c r="GG1957" s="84"/>
      <c r="GH1957" s="84"/>
    </row>
    <row r="1958" spans="187:190" s="2" customFormat="1" ht="18" customHeight="1" x14ac:dyDescent="0.2">
      <c r="GE1958" s="84"/>
      <c r="GF1958" s="84"/>
      <c r="GG1958" s="84"/>
      <c r="GH1958" s="84"/>
    </row>
    <row r="1959" spans="187:190" s="2" customFormat="1" ht="18" customHeight="1" x14ac:dyDescent="0.2">
      <c r="GE1959" s="84"/>
      <c r="GF1959" s="84"/>
      <c r="GG1959" s="84"/>
      <c r="GH1959" s="84"/>
    </row>
    <row r="1960" spans="187:190" s="2" customFormat="1" ht="18" customHeight="1" x14ac:dyDescent="0.2">
      <c r="GE1960" s="84"/>
      <c r="GF1960" s="84"/>
      <c r="GG1960" s="84"/>
      <c r="GH1960" s="84"/>
    </row>
    <row r="1961" spans="187:190" s="2" customFormat="1" ht="18" customHeight="1" x14ac:dyDescent="0.2">
      <c r="GE1961" s="84"/>
      <c r="GF1961" s="84"/>
      <c r="GG1961" s="84"/>
      <c r="GH1961" s="84"/>
    </row>
    <row r="1962" spans="187:190" s="2" customFormat="1" ht="18" customHeight="1" x14ac:dyDescent="0.2">
      <c r="GE1962" s="84"/>
      <c r="GF1962" s="84"/>
      <c r="GG1962" s="84"/>
      <c r="GH1962" s="84"/>
    </row>
    <row r="1963" spans="187:190" s="2" customFormat="1" ht="18" customHeight="1" x14ac:dyDescent="0.2">
      <c r="GE1963" s="84"/>
      <c r="GF1963" s="84"/>
      <c r="GG1963" s="84"/>
      <c r="GH1963" s="84"/>
    </row>
    <row r="1964" spans="187:190" s="2" customFormat="1" ht="18" customHeight="1" x14ac:dyDescent="0.2">
      <c r="GE1964" s="84"/>
      <c r="GF1964" s="84"/>
      <c r="GG1964" s="84"/>
      <c r="GH1964" s="84"/>
    </row>
    <row r="1965" spans="187:190" s="2" customFormat="1" ht="18" customHeight="1" x14ac:dyDescent="0.2">
      <c r="GE1965" s="84"/>
      <c r="GF1965" s="84"/>
      <c r="GG1965" s="84"/>
      <c r="GH1965" s="84"/>
    </row>
    <row r="1966" spans="187:190" s="2" customFormat="1" ht="18" customHeight="1" x14ac:dyDescent="0.2">
      <c r="GE1966" s="84"/>
      <c r="GF1966" s="84"/>
      <c r="GG1966" s="84"/>
      <c r="GH1966" s="84"/>
    </row>
    <row r="1967" spans="187:190" s="2" customFormat="1" ht="18" customHeight="1" x14ac:dyDescent="0.2">
      <c r="GE1967" s="84"/>
      <c r="GF1967" s="84"/>
      <c r="GG1967" s="84"/>
      <c r="GH1967" s="84"/>
    </row>
    <row r="1968" spans="187:190" s="2" customFormat="1" ht="18" customHeight="1" x14ac:dyDescent="0.2">
      <c r="GE1968" s="84"/>
      <c r="GF1968" s="84"/>
      <c r="GG1968" s="84"/>
      <c r="GH1968" s="84"/>
    </row>
    <row r="1969" spans="187:190" s="2" customFormat="1" ht="18" customHeight="1" x14ac:dyDescent="0.2">
      <c r="GE1969" s="84"/>
      <c r="GF1969" s="84"/>
      <c r="GG1969" s="84"/>
      <c r="GH1969" s="84"/>
    </row>
    <row r="1970" spans="187:190" s="2" customFormat="1" ht="18" customHeight="1" x14ac:dyDescent="0.2">
      <c r="GE1970" s="84"/>
      <c r="GF1970" s="84"/>
      <c r="GG1970" s="84"/>
      <c r="GH1970" s="84"/>
    </row>
    <row r="1971" spans="187:190" s="2" customFormat="1" ht="18" customHeight="1" x14ac:dyDescent="0.2">
      <c r="GE1971" s="84"/>
      <c r="GF1971" s="84"/>
      <c r="GG1971" s="84"/>
      <c r="GH1971" s="84"/>
    </row>
    <row r="1972" spans="187:190" s="2" customFormat="1" ht="18" customHeight="1" x14ac:dyDescent="0.2">
      <c r="GE1972" s="84"/>
      <c r="GF1972" s="84"/>
      <c r="GG1972" s="84"/>
      <c r="GH1972" s="84"/>
    </row>
    <row r="1973" spans="187:190" s="2" customFormat="1" ht="18" customHeight="1" x14ac:dyDescent="0.2">
      <c r="GE1973" s="84"/>
      <c r="GF1973" s="84"/>
      <c r="GG1973" s="84"/>
      <c r="GH1973" s="84"/>
    </row>
    <row r="1974" spans="187:190" s="2" customFormat="1" ht="18" customHeight="1" x14ac:dyDescent="0.2">
      <c r="GE1974" s="84"/>
      <c r="GF1974" s="84"/>
      <c r="GG1974" s="84"/>
      <c r="GH1974" s="84"/>
    </row>
    <row r="1975" spans="187:190" s="2" customFormat="1" ht="18" customHeight="1" x14ac:dyDescent="0.2">
      <c r="GE1975" s="84"/>
      <c r="GF1975" s="84"/>
      <c r="GG1975" s="84"/>
      <c r="GH1975" s="84"/>
    </row>
    <row r="1976" spans="187:190" s="2" customFormat="1" ht="18" customHeight="1" x14ac:dyDescent="0.2">
      <c r="GE1976" s="84"/>
      <c r="GF1976" s="84"/>
      <c r="GG1976" s="84"/>
      <c r="GH1976" s="84"/>
    </row>
    <row r="1977" spans="187:190" s="2" customFormat="1" ht="18" customHeight="1" x14ac:dyDescent="0.2">
      <c r="GE1977" s="84"/>
      <c r="GF1977" s="84"/>
      <c r="GG1977" s="84"/>
      <c r="GH1977" s="84"/>
    </row>
    <row r="1978" spans="187:190" s="2" customFormat="1" ht="18" customHeight="1" x14ac:dyDescent="0.2">
      <c r="GE1978" s="84"/>
      <c r="GF1978" s="84"/>
      <c r="GG1978" s="84"/>
      <c r="GH1978" s="84"/>
    </row>
    <row r="1979" spans="187:190" s="2" customFormat="1" ht="18" customHeight="1" x14ac:dyDescent="0.2">
      <c r="GE1979" s="84"/>
      <c r="GF1979" s="84"/>
      <c r="GG1979" s="84"/>
      <c r="GH1979" s="84"/>
    </row>
    <row r="1980" spans="187:190" s="2" customFormat="1" ht="18" customHeight="1" x14ac:dyDescent="0.2">
      <c r="GE1980" s="84"/>
      <c r="GF1980" s="84"/>
      <c r="GG1980" s="84"/>
      <c r="GH1980" s="84"/>
    </row>
    <row r="1981" spans="187:190" s="2" customFormat="1" ht="18" customHeight="1" x14ac:dyDescent="0.2">
      <c r="GE1981" s="84"/>
      <c r="GF1981" s="84"/>
      <c r="GG1981" s="84"/>
      <c r="GH1981" s="84"/>
    </row>
    <row r="1982" spans="187:190" s="2" customFormat="1" ht="18" customHeight="1" x14ac:dyDescent="0.2">
      <c r="GE1982" s="84"/>
      <c r="GF1982" s="84"/>
      <c r="GG1982" s="84"/>
      <c r="GH1982" s="84"/>
    </row>
    <row r="1983" spans="187:190" s="2" customFormat="1" ht="18" customHeight="1" x14ac:dyDescent="0.2">
      <c r="GE1983" s="84"/>
      <c r="GF1983" s="84"/>
      <c r="GG1983" s="84"/>
      <c r="GH1983" s="84"/>
    </row>
    <row r="1984" spans="187:190" s="2" customFormat="1" ht="18" customHeight="1" x14ac:dyDescent="0.2">
      <c r="GE1984" s="84"/>
      <c r="GF1984" s="84"/>
      <c r="GG1984" s="84"/>
      <c r="GH1984" s="84"/>
    </row>
    <row r="1985" spans="187:190" s="2" customFormat="1" ht="18" customHeight="1" x14ac:dyDescent="0.2">
      <c r="GE1985" s="84"/>
      <c r="GF1985" s="84"/>
      <c r="GG1985" s="84"/>
      <c r="GH1985" s="84"/>
    </row>
    <row r="1986" spans="187:190" s="2" customFormat="1" ht="18" customHeight="1" x14ac:dyDescent="0.2">
      <c r="GE1986" s="84"/>
      <c r="GF1986" s="84"/>
      <c r="GG1986" s="84"/>
      <c r="GH1986" s="84"/>
    </row>
    <row r="1987" spans="187:190" s="2" customFormat="1" ht="18" customHeight="1" x14ac:dyDescent="0.2">
      <c r="GE1987" s="84"/>
      <c r="GF1987" s="84"/>
      <c r="GG1987" s="84"/>
      <c r="GH1987" s="84"/>
    </row>
    <row r="1988" spans="187:190" s="2" customFormat="1" ht="18" customHeight="1" x14ac:dyDescent="0.2">
      <c r="GE1988" s="84"/>
      <c r="GF1988" s="84"/>
      <c r="GG1988" s="84"/>
      <c r="GH1988" s="84"/>
    </row>
    <row r="1989" spans="187:190" s="2" customFormat="1" ht="18" customHeight="1" x14ac:dyDescent="0.2">
      <c r="GE1989" s="84"/>
      <c r="GF1989" s="84"/>
      <c r="GG1989" s="84"/>
      <c r="GH1989" s="84"/>
    </row>
    <row r="1990" spans="187:190" s="2" customFormat="1" ht="18" customHeight="1" x14ac:dyDescent="0.2">
      <c r="GE1990" s="84"/>
      <c r="GF1990" s="84"/>
      <c r="GG1990" s="84"/>
      <c r="GH1990" s="84"/>
    </row>
    <row r="1991" spans="187:190" s="2" customFormat="1" ht="18" customHeight="1" x14ac:dyDescent="0.2">
      <c r="GE1991" s="84"/>
      <c r="GF1991" s="84"/>
      <c r="GG1991" s="84"/>
      <c r="GH1991" s="84"/>
    </row>
    <row r="1992" spans="187:190" s="2" customFormat="1" ht="18" customHeight="1" x14ac:dyDescent="0.2">
      <c r="GE1992" s="84"/>
      <c r="GF1992" s="84"/>
      <c r="GG1992" s="84"/>
      <c r="GH1992" s="84"/>
    </row>
    <row r="1993" spans="187:190" s="2" customFormat="1" ht="18" customHeight="1" x14ac:dyDescent="0.2">
      <c r="GE1993" s="84"/>
      <c r="GF1993" s="84"/>
      <c r="GG1993" s="84"/>
      <c r="GH1993" s="84"/>
    </row>
    <row r="1994" spans="187:190" s="2" customFormat="1" ht="18" customHeight="1" x14ac:dyDescent="0.2">
      <c r="GE1994" s="84"/>
      <c r="GF1994" s="84"/>
      <c r="GG1994" s="84"/>
      <c r="GH1994" s="84"/>
    </row>
    <row r="1995" spans="187:190" s="2" customFormat="1" ht="18" customHeight="1" x14ac:dyDescent="0.2">
      <c r="GE1995" s="84"/>
      <c r="GF1995" s="84"/>
      <c r="GG1995" s="84"/>
      <c r="GH1995" s="84"/>
    </row>
    <row r="1996" spans="187:190" s="2" customFormat="1" ht="18" customHeight="1" x14ac:dyDescent="0.2">
      <c r="GE1996" s="84"/>
      <c r="GF1996" s="84"/>
      <c r="GG1996" s="84"/>
      <c r="GH1996" s="84"/>
    </row>
    <row r="1997" spans="187:190" s="2" customFormat="1" ht="18" customHeight="1" x14ac:dyDescent="0.2">
      <c r="GE1997" s="84"/>
      <c r="GF1997" s="84"/>
      <c r="GG1997" s="84"/>
      <c r="GH1997" s="84"/>
    </row>
    <row r="1998" spans="187:190" s="2" customFormat="1" ht="18" customHeight="1" x14ac:dyDescent="0.2">
      <c r="GE1998" s="84"/>
      <c r="GF1998" s="84"/>
      <c r="GG1998" s="84"/>
      <c r="GH1998" s="84"/>
    </row>
    <row r="1999" spans="187:190" s="2" customFormat="1" ht="18" customHeight="1" x14ac:dyDescent="0.2">
      <c r="GE1999" s="84"/>
      <c r="GF1999" s="84"/>
      <c r="GG1999" s="84"/>
      <c r="GH1999" s="84"/>
    </row>
    <row r="2000" spans="187:190" s="2" customFormat="1" ht="18" customHeight="1" x14ac:dyDescent="0.2">
      <c r="GE2000" s="84"/>
      <c r="GF2000" s="84"/>
      <c r="GG2000" s="84"/>
      <c r="GH2000" s="84"/>
    </row>
    <row r="2001" spans="187:190" s="2" customFormat="1" ht="18" customHeight="1" x14ac:dyDescent="0.2">
      <c r="GE2001" s="84"/>
      <c r="GF2001" s="84"/>
      <c r="GG2001" s="84"/>
      <c r="GH2001" s="84"/>
    </row>
    <row r="2002" spans="187:190" s="2" customFormat="1" ht="18" customHeight="1" x14ac:dyDescent="0.2">
      <c r="GE2002" s="84"/>
      <c r="GF2002" s="84"/>
      <c r="GG2002" s="84"/>
      <c r="GH2002" s="84"/>
    </row>
    <row r="2003" spans="187:190" s="2" customFormat="1" ht="18" customHeight="1" x14ac:dyDescent="0.2">
      <c r="GE2003" s="84"/>
      <c r="GF2003" s="84"/>
      <c r="GG2003" s="84"/>
      <c r="GH2003" s="84"/>
    </row>
    <row r="2004" spans="187:190" s="2" customFormat="1" ht="18" customHeight="1" x14ac:dyDescent="0.2">
      <c r="GE2004" s="84"/>
      <c r="GF2004" s="84"/>
      <c r="GG2004" s="84"/>
      <c r="GH2004" s="84"/>
    </row>
    <row r="2005" spans="187:190" s="2" customFormat="1" ht="18" customHeight="1" x14ac:dyDescent="0.2">
      <c r="GE2005" s="84"/>
      <c r="GF2005" s="84"/>
      <c r="GG2005" s="84"/>
      <c r="GH2005" s="84"/>
    </row>
    <row r="2006" spans="187:190" s="2" customFormat="1" ht="18" customHeight="1" x14ac:dyDescent="0.2">
      <c r="GE2006" s="84"/>
      <c r="GF2006" s="84"/>
      <c r="GG2006" s="84"/>
      <c r="GH2006" s="84"/>
    </row>
    <row r="2007" spans="187:190" s="2" customFormat="1" ht="18" customHeight="1" x14ac:dyDescent="0.2">
      <c r="GE2007" s="84"/>
      <c r="GF2007" s="84"/>
      <c r="GG2007" s="84"/>
      <c r="GH2007" s="84"/>
    </row>
    <row r="2008" spans="187:190" s="2" customFormat="1" ht="18" customHeight="1" x14ac:dyDescent="0.2">
      <c r="GE2008" s="84"/>
      <c r="GF2008" s="84"/>
      <c r="GG2008" s="84"/>
      <c r="GH2008" s="84"/>
    </row>
    <row r="2009" spans="187:190" s="2" customFormat="1" ht="18" customHeight="1" x14ac:dyDescent="0.2">
      <c r="GE2009" s="84"/>
      <c r="GF2009" s="84"/>
      <c r="GG2009" s="84"/>
      <c r="GH2009" s="84"/>
    </row>
    <row r="2010" spans="187:190" s="2" customFormat="1" ht="18" customHeight="1" x14ac:dyDescent="0.2">
      <c r="GE2010" s="84"/>
      <c r="GF2010" s="84"/>
      <c r="GG2010" s="84"/>
      <c r="GH2010" s="84"/>
    </row>
    <row r="2011" spans="187:190" s="2" customFormat="1" ht="18" customHeight="1" x14ac:dyDescent="0.2">
      <c r="GE2011" s="84"/>
      <c r="GF2011" s="84"/>
      <c r="GG2011" s="84"/>
      <c r="GH2011" s="84"/>
    </row>
    <row r="2012" spans="187:190" s="2" customFormat="1" ht="18" customHeight="1" x14ac:dyDescent="0.2">
      <c r="GE2012" s="84"/>
      <c r="GF2012" s="84"/>
      <c r="GG2012" s="84"/>
      <c r="GH2012" s="84"/>
    </row>
    <row r="2013" spans="187:190" s="2" customFormat="1" ht="18" customHeight="1" x14ac:dyDescent="0.2">
      <c r="GE2013" s="84"/>
      <c r="GF2013" s="84"/>
      <c r="GG2013" s="84"/>
      <c r="GH2013" s="84"/>
    </row>
    <row r="2014" spans="187:190" s="2" customFormat="1" ht="18" customHeight="1" x14ac:dyDescent="0.2">
      <c r="GE2014" s="84"/>
      <c r="GF2014" s="84"/>
      <c r="GG2014" s="84"/>
      <c r="GH2014" s="84"/>
    </row>
    <row r="2015" spans="187:190" s="2" customFormat="1" ht="18" customHeight="1" x14ac:dyDescent="0.2">
      <c r="GE2015" s="84"/>
      <c r="GF2015" s="84"/>
      <c r="GG2015" s="84"/>
      <c r="GH2015" s="84"/>
    </row>
    <row r="2016" spans="187:190" s="2" customFormat="1" ht="18" customHeight="1" x14ac:dyDescent="0.2">
      <c r="GE2016" s="84"/>
      <c r="GF2016" s="84"/>
      <c r="GG2016" s="84"/>
      <c r="GH2016" s="84"/>
    </row>
    <row r="2017" spans="187:190" s="2" customFormat="1" ht="18" customHeight="1" x14ac:dyDescent="0.2">
      <c r="GE2017" s="84"/>
      <c r="GF2017" s="84"/>
      <c r="GG2017" s="84"/>
      <c r="GH2017" s="84"/>
    </row>
    <row r="2018" spans="187:190" s="2" customFormat="1" ht="18" customHeight="1" x14ac:dyDescent="0.2">
      <c r="GE2018" s="84"/>
      <c r="GF2018" s="84"/>
      <c r="GG2018" s="84"/>
      <c r="GH2018" s="84"/>
    </row>
    <row r="2019" spans="187:190" s="2" customFormat="1" ht="18" customHeight="1" x14ac:dyDescent="0.2">
      <c r="GE2019" s="84"/>
      <c r="GF2019" s="84"/>
      <c r="GG2019" s="84"/>
      <c r="GH2019" s="84"/>
    </row>
    <row r="2020" spans="187:190" s="2" customFormat="1" ht="18" customHeight="1" x14ac:dyDescent="0.2">
      <c r="GE2020" s="84"/>
      <c r="GF2020" s="84"/>
      <c r="GG2020" s="84"/>
      <c r="GH2020" s="84"/>
    </row>
    <row r="2021" spans="187:190" s="2" customFormat="1" ht="18" customHeight="1" x14ac:dyDescent="0.2">
      <c r="GE2021" s="84"/>
      <c r="GF2021" s="84"/>
      <c r="GG2021" s="84"/>
      <c r="GH2021" s="84"/>
    </row>
    <row r="2022" spans="187:190" s="2" customFormat="1" ht="18" customHeight="1" x14ac:dyDescent="0.2">
      <c r="GE2022" s="84"/>
      <c r="GF2022" s="84"/>
      <c r="GG2022" s="84"/>
      <c r="GH2022" s="84"/>
    </row>
    <row r="2023" spans="187:190" s="2" customFormat="1" ht="18" customHeight="1" x14ac:dyDescent="0.2">
      <c r="GE2023" s="84"/>
      <c r="GF2023" s="84"/>
      <c r="GG2023" s="84"/>
      <c r="GH2023" s="84"/>
    </row>
    <row r="2024" spans="187:190" s="2" customFormat="1" ht="18" customHeight="1" x14ac:dyDescent="0.2">
      <c r="GE2024" s="84"/>
      <c r="GF2024" s="84"/>
      <c r="GG2024" s="84"/>
      <c r="GH2024" s="84"/>
    </row>
    <row r="2025" spans="187:190" s="2" customFormat="1" ht="18" customHeight="1" x14ac:dyDescent="0.2">
      <c r="GE2025" s="84"/>
      <c r="GF2025" s="84"/>
      <c r="GG2025" s="84"/>
      <c r="GH2025" s="84"/>
    </row>
    <row r="2026" spans="187:190" s="2" customFormat="1" ht="18" customHeight="1" x14ac:dyDescent="0.2">
      <c r="GE2026" s="84"/>
      <c r="GF2026" s="84"/>
      <c r="GG2026" s="84"/>
      <c r="GH2026" s="84"/>
    </row>
    <row r="2027" spans="187:190" s="2" customFormat="1" ht="18" customHeight="1" x14ac:dyDescent="0.2">
      <c r="GE2027" s="84"/>
      <c r="GF2027" s="84"/>
      <c r="GG2027" s="84"/>
      <c r="GH2027" s="84"/>
    </row>
    <row r="2028" spans="187:190" s="2" customFormat="1" ht="18" customHeight="1" x14ac:dyDescent="0.2">
      <c r="GE2028" s="84"/>
      <c r="GF2028" s="84"/>
      <c r="GG2028" s="84"/>
      <c r="GH2028" s="84"/>
    </row>
    <row r="2029" spans="187:190" s="2" customFormat="1" ht="18" customHeight="1" x14ac:dyDescent="0.2">
      <c r="GE2029" s="84"/>
      <c r="GF2029" s="84"/>
      <c r="GG2029" s="84"/>
      <c r="GH2029" s="84"/>
    </row>
    <row r="2030" spans="187:190" s="2" customFormat="1" ht="18" customHeight="1" x14ac:dyDescent="0.2">
      <c r="GE2030" s="84"/>
      <c r="GF2030" s="84"/>
      <c r="GG2030" s="84"/>
      <c r="GH2030" s="84"/>
    </row>
    <row r="2031" spans="187:190" s="2" customFormat="1" ht="18" customHeight="1" x14ac:dyDescent="0.2">
      <c r="GE2031" s="84"/>
      <c r="GF2031" s="84"/>
      <c r="GG2031" s="84"/>
      <c r="GH2031" s="84"/>
    </row>
    <row r="2032" spans="187:190" s="2" customFormat="1" ht="18" customHeight="1" x14ac:dyDescent="0.2">
      <c r="GE2032" s="84"/>
      <c r="GF2032" s="84"/>
      <c r="GG2032" s="84"/>
      <c r="GH2032" s="84"/>
    </row>
    <row r="2033" spans="187:190" s="2" customFormat="1" ht="18" customHeight="1" x14ac:dyDescent="0.2">
      <c r="GE2033" s="84"/>
      <c r="GF2033" s="84"/>
      <c r="GG2033" s="84"/>
      <c r="GH2033" s="84"/>
    </row>
    <row r="2034" spans="187:190" s="2" customFormat="1" ht="18" customHeight="1" x14ac:dyDescent="0.2">
      <c r="GE2034" s="84"/>
      <c r="GF2034" s="84"/>
      <c r="GG2034" s="84"/>
      <c r="GH2034" s="84"/>
    </row>
    <row r="2035" spans="187:190" s="2" customFormat="1" ht="18" customHeight="1" x14ac:dyDescent="0.2">
      <c r="GE2035" s="84"/>
      <c r="GF2035" s="84"/>
      <c r="GG2035" s="84"/>
      <c r="GH2035" s="84"/>
    </row>
    <row r="2036" spans="187:190" s="2" customFormat="1" ht="18" customHeight="1" x14ac:dyDescent="0.2">
      <c r="GE2036" s="84"/>
      <c r="GF2036" s="84"/>
      <c r="GG2036" s="84"/>
      <c r="GH2036" s="84"/>
    </row>
    <row r="2037" spans="187:190" s="2" customFormat="1" ht="18" customHeight="1" x14ac:dyDescent="0.2">
      <c r="GE2037" s="84"/>
      <c r="GF2037" s="84"/>
      <c r="GG2037" s="84"/>
      <c r="GH2037" s="84"/>
    </row>
    <row r="2038" spans="187:190" s="2" customFormat="1" ht="18" customHeight="1" x14ac:dyDescent="0.2">
      <c r="GE2038" s="84"/>
      <c r="GF2038" s="84"/>
      <c r="GG2038" s="84"/>
      <c r="GH2038" s="84"/>
    </row>
    <row r="2039" spans="187:190" s="2" customFormat="1" ht="18" customHeight="1" x14ac:dyDescent="0.2">
      <c r="GE2039" s="84"/>
      <c r="GF2039" s="84"/>
      <c r="GG2039" s="84"/>
      <c r="GH2039" s="84"/>
    </row>
    <row r="2040" spans="187:190" s="2" customFormat="1" ht="18" customHeight="1" x14ac:dyDescent="0.2">
      <c r="GE2040" s="84"/>
      <c r="GF2040" s="84"/>
      <c r="GG2040" s="84"/>
      <c r="GH2040" s="84"/>
    </row>
    <row r="2041" spans="187:190" s="2" customFormat="1" ht="18" customHeight="1" x14ac:dyDescent="0.2">
      <c r="GE2041" s="84"/>
      <c r="GF2041" s="84"/>
      <c r="GG2041" s="84"/>
      <c r="GH2041" s="84"/>
    </row>
    <row r="2042" spans="187:190" s="2" customFormat="1" ht="18" customHeight="1" x14ac:dyDescent="0.2">
      <c r="GE2042" s="84"/>
      <c r="GF2042" s="84"/>
      <c r="GG2042" s="84"/>
      <c r="GH2042" s="84"/>
    </row>
    <row r="2043" spans="187:190" s="2" customFormat="1" ht="18" customHeight="1" x14ac:dyDescent="0.2">
      <c r="GE2043" s="84"/>
      <c r="GF2043" s="84"/>
      <c r="GG2043" s="84"/>
      <c r="GH2043" s="84"/>
    </row>
    <row r="2044" spans="187:190" s="2" customFormat="1" ht="18" customHeight="1" x14ac:dyDescent="0.2">
      <c r="GE2044" s="84"/>
      <c r="GF2044" s="84"/>
      <c r="GG2044" s="84"/>
      <c r="GH2044" s="84"/>
    </row>
    <row r="2045" spans="187:190" s="2" customFormat="1" ht="18" customHeight="1" x14ac:dyDescent="0.2">
      <c r="GE2045" s="84"/>
      <c r="GF2045" s="84"/>
      <c r="GG2045" s="84"/>
      <c r="GH2045" s="84"/>
    </row>
    <row r="2046" spans="187:190" s="2" customFormat="1" ht="18" customHeight="1" x14ac:dyDescent="0.2">
      <c r="GE2046" s="84"/>
      <c r="GF2046" s="84"/>
      <c r="GG2046" s="84"/>
      <c r="GH2046" s="84"/>
    </row>
    <row r="2047" spans="187:190" s="2" customFormat="1" ht="18" customHeight="1" x14ac:dyDescent="0.2">
      <c r="GE2047" s="84"/>
      <c r="GF2047" s="84"/>
      <c r="GG2047" s="84"/>
      <c r="GH2047" s="84"/>
    </row>
    <row r="2048" spans="187:190" s="2" customFormat="1" ht="18" customHeight="1" x14ac:dyDescent="0.2">
      <c r="GE2048" s="84"/>
      <c r="GF2048" s="84"/>
      <c r="GG2048" s="84"/>
      <c r="GH2048" s="84"/>
    </row>
    <row r="2049" spans="187:190" s="2" customFormat="1" ht="18" customHeight="1" x14ac:dyDescent="0.2">
      <c r="GE2049" s="84"/>
      <c r="GF2049" s="84"/>
      <c r="GG2049" s="84"/>
      <c r="GH2049" s="84"/>
    </row>
    <row r="2050" spans="187:190" s="2" customFormat="1" ht="18" customHeight="1" x14ac:dyDescent="0.2">
      <c r="GE2050" s="84"/>
      <c r="GF2050" s="84"/>
      <c r="GG2050" s="84"/>
      <c r="GH2050" s="84"/>
    </row>
    <row r="2051" spans="187:190" s="2" customFormat="1" ht="18" customHeight="1" x14ac:dyDescent="0.2">
      <c r="GE2051" s="84"/>
      <c r="GF2051" s="84"/>
      <c r="GG2051" s="84"/>
      <c r="GH2051" s="84"/>
    </row>
    <row r="2052" spans="187:190" s="2" customFormat="1" ht="18" customHeight="1" x14ac:dyDescent="0.2">
      <c r="GE2052" s="84"/>
      <c r="GF2052" s="84"/>
      <c r="GG2052" s="84"/>
      <c r="GH2052" s="84"/>
    </row>
    <row r="2053" spans="187:190" s="2" customFormat="1" ht="18" customHeight="1" x14ac:dyDescent="0.2">
      <c r="GE2053" s="84"/>
      <c r="GF2053" s="84"/>
      <c r="GG2053" s="84"/>
      <c r="GH2053" s="84"/>
    </row>
    <row r="2054" spans="187:190" s="2" customFormat="1" ht="18" customHeight="1" x14ac:dyDescent="0.2">
      <c r="GE2054" s="84"/>
      <c r="GF2054" s="84"/>
      <c r="GG2054" s="84"/>
      <c r="GH2054" s="84"/>
    </row>
    <row r="2055" spans="187:190" s="2" customFormat="1" ht="18" customHeight="1" x14ac:dyDescent="0.2">
      <c r="GE2055" s="84"/>
      <c r="GF2055" s="84"/>
      <c r="GG2055" s="84"/>
      <c r="GH2055" s="84"/>
    </row>
    <row r="2056" spans="187:190" s="2" customFormat="1" ht="18" customHeight="1" x14ac:dyDescent="0.2">
      <c r="GE2056" s="84"/>
      <c r="GF2056" s="84"/>
      <c r="GG2056" s="84"/>
      <c r="GH2056" s="84"/>
    </row>
    <row r="2057" spans="187:190" s="2" customFormat="1" ht="18" customHeight="1" x14ac:dyDescent="0.2">
      <c r="GE2057" s="84"/>
      <c r="GF2057" s="84"/>
      <c r="GG2057" s="84"/>
      <c r="GH2057" s="84"/>
    </row>
    <row r="2058" spans="187:190" s="2" customFormat="1" ht="18" customHeight="1" x14ac:dyDescent="0.2">
      <c r="GE2058" s="84"/>
      <c r="GF2058" s="84"/>
      <c r="GG2058" s="84"/>
      <c r="GH2058" s="84"/>
    </row>
    <row r="2059" spans="187:190" s="2" customFormat="1" ht="18" customHeight="1" x14ac:dyDescent="0.2">
      <c r="GE2059" s="84"/>
      <c r="GF2059" s="84"/>
      <c r="GG2059" s="84"/>
      <c r="GH2059" s="84"/>
    </row>
    <row r="2060" spans="187:190" s="2" customFormat="1" ht="18" customHeight="1" x14ac:dyDescent="0.2">
      <c r="GE2060" s="84"/>
      <c r="GF2060" s="84"/>
      <c r="GG2060" s="84"/>
      <c r="GH2060" s="84"/>
    </row>
    <row r="2061" spans="187:190" s="2" customFormat="1" ht="18" customHeight="1" x14ac:dyDescent="0.2">
      <c r="GE2061" s="84"/>
      <c r="GF2061" s="84"/>
      <c r="GG2061" s="84"/>
      <c r="GH2061" s="84"/>
    </row>
    <row r="2062" spans="187:190" s="2" customFormat="1" ht="18" customHeight="1" x14ac:dyDescent="0.2">
      <c r="GE2062" s="84"/>
      <c r="GF2062" s="84"/>
      <c r="GG2062" s="84"/>
      <c r="GH2062" s="84"/>
    </row>
    <row r="2063" spans="187:190" s="2" customFormat="1" ht="18" customHeight="1" x14ac:dyDescent="0.2">
      <c r="GE2063" s="84"/>
      <c r="GF2063" s="84"/>
      <c r="GG2063" s="84"/>
      <c r="GH2063" s="84"/>
    </row>
    <row r="2064" spans="187:190" s="2" customFormat="1" ht="18" customHeight="1" x14ac:dyDescent="0.2">
      <c r="GE2064" s="84"/>
      <c r="GF2064" s="84"/>
      <c r="GG2064" s="84"/>
      <c r="GH2064" s="84"/>
    </row>
    <row r="2065" spans="187:190" s="2" customFormat="1" ht="18" customHeight="1" x14ac:dyDescent="0.2">
      <c r="GE2065" s="84"/>
      <c r="GF2065" s="84"/>
      <c r="GG2065" s="84"/>
      <c r="GH2065" s="84"/>
    </row>
    <row r="2066" spans="187:190" s="2" customFormat="1" ht="18" customHeight="1" x14ac:dyDescent="0.2">
      <c r="GE2066" s="84"/>
      <c r="GF2066" s="84"/>
      <c r="GG2066" s="84"/>
      <c r="GH2066" s="84"/>
    </row>
    <row r="2067" spans="187:190" s="2" customFormat="1" ht="18" customHeight="1" x14ac:dyDescent="0.2">
      <c r="GE2067" s="84"/>
      <c r="GF2067" s="84"/>
      <c r="GG2067" s="84"/>
      <c r="GH2067" s="84"/>
    </row>
    <row r="2068" spans="187:190" s="2" customFormat="1" ht="18" customHeight="1" x14ac:dyDescent="0.2">
      <c r="GE2068" s="84"/>
      <c r="GF2068" s="84"/>
      <c r="GG2068" s="84"/>
      <c r="GH2068" s="84"/>
    </row>
    <row r="2069" spans="187:190" s="2" customFormat="1" ht="18" customHeight="1" x14ac:dyDescent="0.2">
      <c r="GE2069" s="84"/>
      <c r="GF2069" s="84"/>
      <c r="GG2069" s="84"/>
      <c r="GH2069" s="84"/>
    </row>
    <row r="2070" spans="187:190" s="2" customFormat="1" ht="18" customHeight="1" x14ac:dyDescent="0.2">
      <c r="GE2070" s="84"/>
      <c r="GF2070" s="84"/>
      <c r="GG2070" s="84"/>
      <c r="GH2070" s="84"/>
    </row>
    <row r="2071" spans="187:190" s="2" customFormat="1" ht="18" customHeight="1" x14ac:dyDescent="0.2">
      <c r="GE2071" s="84"/>
      <c r="GF2071" s="84"/>
      <c r="GG2071" s="84"/>
      <c r="GH2071" s="84"/>
    </row>
    <row r="2072" spans="187:190" s="2" customFormat="1" ht="18" customHeight="1" x14ac:dyDescent="0.2">
      <c r="GE2072" s="84"/>
      <c r="GF2072" s="84"/>
      <c r="GG2072" s="84"/>
      <c r="GH2072" s="84"/>
    </row>
    <row r="2073" spans="187:190" s="2" customFormat="1" ht="18" customHeight="1" x14ac:dyDescent="0.2">
      <c r="GE2073" s="84"/>
      <c r="GF2073" s="84"/>
      <c r="GG2073" s="84"/>
      <c r="GH2073" s="84"/>
    </row>
    <row r="2074" spans="187:190" s="2" customFormat="1" ht="18" customHeight="1" x14ac:dyDescent="0.2">
      <c r="GE2074" s="84"/>
      <c r="GF2074" s="84"/>
      <c r="GG2074" s="84"/>
      <c r="GH2074" s="84"/>
    </row>
    <row r="2075" spans="187:190" s="2" customFormat="1" ht="18" customHeight="1" x14ac:dyDescent="0.2">
      <c r="GE2075" s="84"/>
      <c r="GF2075" s="84"/>
      <c r="GG2075" s="84"/>
      <c r="GH2075" s="84"/>
    </row>
    <row r="2076" spans="187:190" s="2" customFormat="1" ht="18" customHeight="1" x14ac:dyDescent="0.2">
      <c r="GE2076" s="84"/>
      <c r="GF2076" s="84"/>
      <c r="GG2076" s="84"/>
      <c r="GH2076" s="84"/>
    </row>
    <row r="2077" spans="187:190" s="2" customFormat="1" ht="18" customHeight="1" x14ac:dyDescent="0.2">
      <c r="GE2077" s="84"/>
      <c r="GF2077" s="84"/>
      <c r="GG2077" s="84"/>
      <c r="GH2077" s="84"/>
    </row>
    <row r="2078" spans="187:190" s="2" customFormat="1" ht="18" customHeight="1" x14ac:dyDescent="0.2">
      <c r="GE2078" s="84"/>
      <c r="GF2078" s="84"/>
      <c r="GG2078" s="84"/>
      <c r="GH2078" s="84"/>
    </row>
    <row r="2079" spans="187:190" s="2" customFormat="1" ht="18" customHeight="1" x14ac:dyDescent="0.2">
      <c r="GE2079" s="84"/>
      <c r="GF2079" s="84"/>
      <c r="GG2079" s="84"/>
      <c r="GH2079" s="84"/>
    </row>
    <row r="2080" spans="187:190" s="2" customFormat="1" ht="18" customHeight="1" x14ac:dyDescent="0.2">
      <c r="GE2080" s="84"/>
      <c r="GF2080" s="84"/>
      <c r="GG2080" s="84"/>
      <c r="GH2080" s="84"/>
    </row>
    <row r="2081" spans="187:190" s="2" customFormat="1" ht="18" customHeight="1" x14ac:dyDescent="0.2">
      <c r="GE2081" s="84"/>
      <c r="GF2081" s="84"/>
      <c r="GG2081" s="84"/>
      <c r="GH2081" s="84"/>
    </row>
    <row r="2082" spans="187:190" s="2" customFormat="1" ht="18" customHeight="1" x14ac:dyDescent="0.2">
      <c r="GE2082" s="84"/>
      <c r="GF2082" s="84"/>
      <c r="GG2082" s="84"/>
      <c r="GH2082" s="84"/>
    </row>
    <row r="2083" spans="187:190" s="2" customFormat="1" ht="18" customHeight="1" x14ac:dyDescent="0.2">
      <c r="GE2083" s="84"/>
      <c r="GF2083" s="84"/>
      <c r="GG2083" s="84"/>
      <c r="GH2083" s="84"/>
    </row>
    <row r="2084" spans="187:190" s="2" customFormat="1" ht="18" customHeight="1" x14ac:dyDescent="0.2">
      <c r="GE2084" s="84"/>
      <c r="GF2084" s="84"/>
      <c r="GG2084" s="84"/>
      <c r="GH2084" s="84"/>
    </row>
    <row r="2085" spans="187:190" s="2" customFormat="1" ht="18" customHeight="1" x14ac:dyDescent="0.2">
      <c r="GE2085" s="84"/>
      <c r="GF2085" s="84"/>
      <c r="GG2085" s="84"/>
      <c r="GH2085" s="84"/>
    </row>
    <row r="2086" spans="187:190" s="2" customFormat="1" ht="18" customHeight="1" x14ac:dyDescent="0.2">
      <c r="GE2086" s="84"/>
      <c r="GF2086" s="84"/>
      <c r="GG2086" s="84"/>
      <c r="GH2086" s="84"/>
    </row>
    <row r="2087" spans="187:190" s="2" customFormat="1" ht="18" customHeight="1" x14ac:dyDescent="0.2">
      <c r="GE2087" s="84"/>
      <c r="GF2087" s="84"/>
      <c r="GG2087" s="84"/>
      <c r="GH2087" s="84"/>
    </row>
    <row r="2088" spans="187:190" s="2" customFormat="1" ht="18" customHeight="1" x14ac:dyDescent="0.2">
      <c r="GE2088" s="84"/>
      <c r="GF2088" s="84"/>
      <c r="GG2088" s="84"/>
      <c r="GH2088" s="84"/>
    </row>
    <row r="2089" spans="187:190" s="2" customFormat="1" ht="18" customHeight="1" x14ac:dyDescent="0.2">
      <c r="GE2089" s="84"/>
      <c r="GF2089" s="84"/>
      <c r="GG2089" s="84"/>
      <c r="GH2089" s="84"/>
    </row>
    <row r="2090" spans="187:190" s="2" customFormat="1" ht="18" customHeight="1" x14ac:dyDescent="0.2">
      <c r="GE2090" s="84"/>
      <c r="GF2090" s="84"/>
      <c r="GG2090" s="84"/>
      <c r="GH2090" s="84"/>
    </row>
    <row r="2091" spans="187:190" s="2" customFormat="1" ht="18" customHeight="1" x14ac:dyDescent="0.2">
      <c r="GE2091" s="84"/>
      <c r="GF2091" s="84"/>
      <c r="GG2091" s="84"/>
      <c r="GH2091" s="84"/>
    </row>
    <row r="2092" spans="187:190" s="2" customFormat="1" ht="18" customHeight="1" x14ac:dyDescent="0.2">
      <c r="GE2092" s="84"/>
      <c r="GF2092" s="84"/>
      <c r="GG2092" s="84"/>
      <c r="GH2092" s="84"/>
    </row>
    <row r="2093" spans="187:190" s="2" customFormat="1" ht="18" customHeight="1" x14ac:dyDescent="0.2">
      <c r="GE2093" s="84"/>
      <c r="GF2093" s="84"/>
      <c r="GG2093" s="84"/>
      <c r="GH2093" s="84"/>
    </row>
    <row r="2094" spans="187:190" s="2" customFormat="1" ht="18" customHeight="1" x14ac:dyDescent="0.2">
      <c r="GE2094" s="84"/>
      <c r="GF2094" s="84"/>
      <c r="GG2094" s="84"/>
      <c r="GH2094" s="84"/>
    </row>
    <row r="2095" spans="187:190" s="2" customFormat="1" ht="18" customHeight="1" x14ac:dyDescent="0.2">
      <c r="GE2095" s="84"/>
      <c r="GF2095" s="84"/>
      <c r="GG2095" s="84"/>
      <c r="GH2095" s="84"/>
    </row>
    <row r="2096" spans="187:190" s="2" customFormat="1" ht="18" customHeight="1" x14ac:dyDescent="0.2">
      <c r="GE2096" s="84"/>
      <c r="GF2096" s="84"/>
      <c r="GG2096" s="84"/>
      <c r="GH2096" s="84"/>
    </row>
    <row r="2097" spans="187:190" s="2" customFormat="1" ht="18" customHeight="1" x14ac:dyDescent="0.2">
      <c r="GE2097" s="84"/>
      <c r="GF2097" s="84"/>
      <c r="GG2097" s="84"/>
      <c r="GH2097" s="84"/>
    </row>
    <row r="2098" spans="187:190" s="2" customFormat="1" ht="18" customHeight="1" x14ac:dyDescent="0.2">
      <c r="GE2098" s="84"/>
      <c r="GF2098" s="84"/>
      <c r="GG2098" s="84"/>
      <c r="GH2098" s="84"/>
    </row>
    <row r="2099" spans="187:190" s="2" customFormat="1" ht="18" customHeight="1" x14ac:dyDescent="0.2">
      <c r="GE2099" s="84"/>
      <c r="GF2099" s="84"/>
      <c r="GG2099" s="84"/>
      <c r="GH2099" s="84"/>
    </row>
    <row r="2100" spans="187:190" s="2" customFormat="1" ht="18" customHeight="1" x14ac:dyDescent="0.2">
      <c r="GE2100" s="84"/>
      <c r="GF2100" s="84"/>
      <c r="GG2100" s="84"/>
      <c r="GH2100" s="84"/>
    </row>
    <row r="2101" spans="187:190" s="2" customFormat="1" ht="18" customHeight="1" x14ac:dyDescent="0.2">
      <c r="GE2101" s="84"/>
      <c r="GF2101" s="84"/>
      <c r="GG2101" s="84"/>
      <c r="GH2101" s="84"/>
    </row>
    <row r="2102" spans="187:190" s="2" customFormat="1" ht="18" customHeight="1" x14ac:dyDescent="0.2">
      <c r="GE2102" s="84"/>
      <c r="GF2102" s="84"/>
      <c r="GG2102" s="84"/>
      <c r="GH2102" s="84"/>
    </row>
    <row r="2103" spans="187:190" s="2" customFormat="1" ht="18" customHeight="1" x14ac:dyDescent="0.2">
      <c r="GE2103" s="84"/>
      <c r="GF2103" s="84"/>
      <c r="GG2103" s="84"/>
      <c r="GH2103" s="84"/>
    </row>
    <row r="2104" spans="187:190" s="2" customFormat="1" ht="18" customHeight="1" x14ac:dyDescent="0.2">
      <c r="GE2104" s="84"/>
      <c r="GF2104" s="84"/>
      <c r="GG2104" s="84"/>
      <c r="GH2104" s="84"/>
    </row>
    <row r="2105" spans="187:190" s="2" customFormat="1" ht="18" customHeight="1" x14ac:dyDescent="0.2">
      <c r="GE2105" s="84"/>
      <c r="GF2105" s="84"/>
      <c r="GG2105" s="84"/>
      <c r="GH2105" s="84"/>
    </row>
    <row r="2106" spans="187:190" s="2" customFormat="1" ht="18" customHeight="1" x14ac:dyDescent="0.2">
      <c r="GE2106" s="84"/>
      <c r="GF2106" s="84"/>
      <c r="GG2106" s="84"/>
      <c r="GH2106" s="84"/>
    </row>
    <row r="2107" spans="187:190" s="2" customFormat="1" ht="18" customHeight="1" x14ac:dyDescent="0.2">
      <c r="GE2107" s="84"/>
      <c r="GF2107" s="84"/>
      <c r="GG2107" s="84"/>
      <c r="GH2107" s="84"/>
    </row>
    <row r="2108" spans="187:190" s="2" customFormat="1" ht="18" customHeight="1" x14ac:dyDescent="0.2">
      <c r="GE2108" s="84"/>
      <c r="GF2108" s="84"/>
      <c r="GG2108" s="84"/>
      <c r="GH2108" s="84"/>
    </row>
    <row r="2109" spans="187:190" s="2" customFormat="1" ht="18" customHeight="1" x14ac:dyDescent="0.2">
      <c r="GE2109" s="84"/>
      <c r="GF2109" s="84"/>
      <c r="GG2109" s="84"/>
      <c r="GH2109" s="84"/>
    </row>
    <row r="2110" spans="187:190" s="2" customFormat="1" ht="18" customHeight="1" x14ac:dyDescent="0.2">
      <c r="GE2110" s="84"/>
      <c r="GF2110" s="84"/>
      <c r="GG2110" s="84"/>
      <c r="GH2110" s="84"/>
    </row>
    <row r="2111" spans="187:190" s="2" customFormat="1" ht="18" customHeight="1" x14ac:dyDescent="0.2">
      <c r="GE2111" s="84"/>
      <c r="GF2111" s="84"/>
      <c r="GG2111" s="84"/>
      <c r="GH2111" s="84"/>
    </row>
    <row r="2112" spans="187:190" s="2" customFormat="1" ht="18" customHeight="1" x14ac:dyDescent="0.2">
      <c r="GE2112" s="84"/>
      <c r="GF2112" s="84"/>
      <c r="GG2112" s="84"/>
      <c r="GH2112" s="84"/>
    </row>
    <row r="2113" spans="187:190" s="2" customFormat="1" ht="18" customHeight="1" x14ac:dyDescent="0.2">
      <c r="GE2113" s="84"/>
      <c r="GF2113" s="84"/>
      <c r="GG2113" s="84"/>
      <c r="GH2113" s="84"/>
    </row>
    <row r="2114" spans="187:190" s="2" customFormat="1" ht="18" customHeight="1" x14ac:dyDescent="0.2">
      <c r="GE2114" s="84"/>
      <c r="GF2114" s="84"/>
      <c r="GG2114" s="84"/>
      <c r="GH2114" s="84"/>
    </row>
    <row r="2115" spans="187:190" s="2" customFormat="1" ht="18" customHeight="1" x14ac:dyDescent="0.2">
      <c r="GE2115" s="84"/>
      <c r="GF2115" s="84"/>
      <c r="GG2115" s="84"/>
      <c r="GH2115" s="84"/>
    </row>
    <row r="2116" spans="187:190" s="2" customFormat="1" ht="18" customHeight="1" x14ac:dyDescent="0.2">
      <c r="GE2116" s="84"/>
      <c r="GF2116" s="84"/>
      <c r="GG2116" s="84"/>
      <c r="GH2116" s="84"/>
    </row>
    <row r="2117" spans="187:190" s="2" customFormat="1" ht="18" customHeight="1" x14ac:dyDescent="0.2">
      <c r="GE2117" s="84"/>
      <c r="GF2117" s="84"/>
      <c r="GG2117" s="84"/>
      <c r="GH2117" s="84"/>
    </row>
    <row r="2118" spans="187:190" s="2" customFormat="1" ht="18" customHeight="1" x14ac:dyDescent="0.2">
      <c r="GE2118" s="84"/>
      <c r="GF2118" s="84"/>
      <c r="GG2118" s="84"/>
      <c r="GH2118" s="84"/>
    </row>
    <row r="2119" spans="187:190" s="2" customFormat="1" ht="18" customHeight="1" x14ac:dyDescent="0.2">
      <c r="GE2119" s="84"/>
      <c r="GF2119" s="84"/>
      <c r="GG2119" s="84"/>
      <c r="GH2119" s="84"/>
    </row>
    <row r="2120" spans="187:190" s="2" customFormat="1" ht="18" customHeight="1" x14ac:dyDescent="0.2">
      <c r="GE2120" s="84"/>
      <c r="GF2120" s="84"/>
      <c r="GG2120" s="84"/>
      <c r="GH2120" s="84"/>
    </row>
    <row r="2121" spans="187:190" s="2" customFormat="1" ht="18" customHeight="1" x14ac:dyDescent="0.2">
      <c r="GE2121" s="84"/>
      <c r="GF2121" s="84"/>
      <c r="GG2121" s="84"/>
      <c r="GH2121" s="84"/>
    </row>
    <row r="2122" spans="187:190" s="2" customFormat="1" ht="18" customHeight="1" x14ac:dyDescent="0.2">
      <c r="GE2122" s="84"/>
      <c r="GF2122" s="84"/>
      <c r="GG2122" s="84"/>
      <c r="GH2122" s="84"/>
    </row>
    <row r="2123" spans="187:190" s="2" customFormat="1" ht="18" customHeight="1" x14ac:dyDescent="0.2">
      <c r="GE2123" s="84"/>
      <c r="GF2123" s="84"/>
      <c r="GG2123" s="84"/>
      <c r="GH2123" s="84"/>
    </row>
    <row r="2124" spans="187:190" s="2" customFormat="1" ht="18" customHeight="1" x14ac:dyDescent="0.2">
      <c r="GE2124" s="84"/>
      <c r="GF2124" s="84"/>
      <c r="GG2124" s="84"/>
      <c r="GH2124" s="84"/>
    </row>
    <row r="2125" spans="187:190" s="2" customFormat="1" ht="18" customHeight="1" x14ac:dyDescent="0.2">
      <c r="GE2125" s="84"/>
      <c r="GF2125" s="84"/>
      <c r="GG2125" s="84"/>
      <c r="GH2125" s="84"/>
    </row>
    <row r="2126" spans="187:190" s="2" customFormat="1" ht="18" customHeight="1" x14ac:dyDescent="0.2">
      <c r="GE2126" s="84"/>
      <c r="GF2126" s="84"/>
      <c r="GG2126" s="84"/>
      <c r="GH2126" s="84"/>
    </row>
    <row r="2127" spans="187:190" s="2" customFormat="1" ht="18" customHeight="1" x14ac:dyDescent="0.2">
      <c r="GE2127" s="84"/>
      <c r="GF2127" s="84"/>
      <c r="GG2127" s="84"/>
      <c r="GH2127" s="84"/>
    </row>
    <row r="2128" spans="187:190" s="2" customFormat="1" ht="18" customHeight="1" x14ac:dyDescent="0.2">
      <c r="GE2128" s="84"/>
      <c r="GF2128" s="84"/>
      <c r="GG2128" s="84"/>
      <c r="GH2128" s="84"/>
    </row>
    <row r="2129" spans="187:190" s="2" customFormat="1" ht="18" customHeight="1" x14ac:dyDescent="0.2">
      <c r="GE2129" s="84"/>
      <c r="GF2129" s="84"/>
      <c r="GG2129" s="84"/>
      <c r="GH2129" s="84"/>
    </row>
    <row r="2130" spans="187:190" s="2" customFormat="1" ht="18" customHeight="1" x14ac:dyDescent="0.2">
      <c r="GE2130" s="84"/>
      <c r="GF2130" s="84"/>
      <c r="GG2130" s="84"/>
      <c r="GH2130" s="84"/>
    </row>
    <row r="2131" spans="187:190" s="2" customFormat="1" ht="18" customHeight="1" x14ac:dyDescent="0.2">
      <c r="GE2131" s="84"/>
      <c r="GF2131" s="84"/>
      <c r="GG2131" s="84"/>
      <c r="GH2131" s="84"/>
    </row>
    <row r="2132" spans="187:190" s="2" customFormat="1" ht="18" customHeight="1" x14ac:dyDescent="0.2">
      <c r="GE2132" s="84"/>
      <c r="GF2132" s="84"/>
      <c r="GG2132" s="84"/>
      <c r="GH2132" s="84"/>
    </row>
    <row r="2133" spans="187:190" s="2" customFormat="1" ht="18" customHeight="1" x14ac:dyDescent="0.2">
      <c r="GE2133" s="84"/>
      <c r="GF2133" s="84"/>
      <c r="GG2133" s="84"/>
      <c r="GH2133" s="84"/>
    </row>
    <row r="2134" spans="187:190" s="2" customFormat="1" ht="18" customHeight="1" x14ac:dyDescent="0.2">
      <c r="GE2134" s="84"/>
      <c r="GF2134" s="84"/>
      <c r="GG2134" s="84"/>
      <c r="GH2134" s="84"/>
    </row>
    <row r="2135" spans="187:190" s="2" customFormat="1" ht="18" customHeight="1" x14ac:dyDescent="0.2">
      <c r="GE2135" s="84"/>
      <c r="GF2135" s="84"/>
      <c r="GG2135" s="84"/>
      <c r="GH2135" s="84"/>
    </row>
    <row r="2136" spans="187:190" s="2" customFormat="1" ht="18" customHeight="1" x14ac:dyDescent="0.2">
      <c r="GE2136" s="84"/>
      <c r="GF2136" s="84"/>
      <c r="GG2136" s="84"/>
      <c r="GH2136" s="84"/>
    </row>
    <row r="2137" spans="187:190" s="2" customFormat="1" ht="18" customHeight="1" x14ac:dyDescent="0.2">
      <c r="GE2137" s="84"/>
      <c r="GF2137" s="84"/>
      <c r="GG2137" s="84"/>
      <c r="GH2137" s="84"/>
    </row>
    <row r="2138" spans="187:190" s="2" customFormat="1" ht="18" customHeight="1" x14ac:dyDescent="0.2">
      <c r="GE2138" s="84"/>
      <c r="GF2138" s="84"/>
      <c r="GG2138" s="84"/>
      <c r="GH2138" s="84"/>
    </row>
    <row r="2139" spans="187:190" s="2" customFormat="1" ht="18" customHeight="1" x14ac:dyDescent="0.2">
      <c r="GE2139" s="84"/>
      <c r="GF2139" s="84"/>
      <c r="GG2139" s="84"/>
      <c r="GH2139" s="84"/>
    </row>
    <row r="2140" spans="187:190" s="2" customFormat="1" ht="18" customHeight="1" x14ac:dyDescent="0.2">
      <c r="GE2140" s="84"/>
      <c r="GF2140" s="84"/>
      <c r="GG2140" s="84"/>
      <c r="GH2140" s="84"/>
    </row>
    <row r="2141" spans="187:190" s="2" customFormat="1" ht="18" customHeight="1" x14ac:dyDescent="0.2">
      <c r="GE2141" s="84"/>
      <c r="GF2141" s="84"/>
      <c r="GG2141" s="84"/>
      <c r="GH2141" s="84"/>
    </row>
    <row r="2142" spans="187:190" s="2" customFormat="1" ht="18" customHeight="1" x14ac:dyDescent="0.2">
      <c r="GE2142" s="84"/>
      <c r="GF2142" s="84"/>
      <c r="GG2142" s="84"/>
      <c r="GH2142" s="84"/>
    </row>
    <row r="2143" spans="187:190" s="2" customFormat="1" ht="18" customHeight="1" x14ac:dyDescent="0.2">
      <c r="GE2143" s="84"/>
      <c r="GF2143" s="84"/>
      <c r="GG2143" s="84"/>
      <c r="GH2143" s="84"/>
    </row>
    <row r="2144" spans="187:190" s="2" customFormat="1" ht="18" customHeight="1" x14ac:dyDescent="0.2">
      <c r="GE2144" s="84"/>
      <c r="GF2144" s="84"/>
      <c r="GG2144" s="84"/>
      <c r="GH2144" s="84"/>
    </row>
    <row r="2145" spans="187:190" s="2" customFormat="1" ht="18" customHeight="1" x14ac:dyDescent="0.2">
      <c r="GE2145" s="84"/>
      <c r="GF2145" s="84"/>
      <c r="GG2145" s="84"/>
      <c r="GH2145" s="84"/>
    </row>
    <row r="2146" spans="187:190" s="2" customFormat="1" ht="18" customHeight="1" x14ac:dyDescent="0.2">
      <c r="GE2146" s="84"/>
      <c r="GF2146" s="84"/>
      <c r="GG2146" s="84"/>
      <c r="GH2146" s="84"/>
    </row>
    <row r="2147" spans="187:190" s="2" customFormat="1" ht="18" customHeight="1" x14ac:dyDescent="0.2">
      <c r="GE2147" s="84"/>
      <c r="GF2147" s="84"/>
      <c r="GG2147" s="84"/>
      <c r="GH2147" s="84"/>
    </row>
    <row r="2148" spans="187:190" s="2" customFormat="1" ht="18" customHeight="1" x14ac:dyDescent="0.2">
      <c r="GE2148" s="84"/>
      <c r="GF2148" s="84"/>
      <c r="GG2148" s="84"/>
      <c r="GH2148" s="84"/>
    </row>
    <row r="2149" spans="187:190" s="2" customFormat="1" ht="18" customHeight="1" x14ac:dyDescent="0.2">
      <c r="GE2149" s="84"/>
      <c r="GF2149" s="84"/>
      <c r="GG2149" s="84"/>
      <c r="GH2149" s="84"/>
    </row>
    <row r="2150" spans="187:190" s="2" customFormat="1" ht="18" customHeight="1" x14ac:dyDescent="0.2">
      <c r="GE2150" s="84"/>
      <c r="GF2150" s="84"/>
      <c r="GG2150" s="84"/>
      <c r="GH2150" s="84"/>
    </row>
    <row r="2151" spans="187:190" s="2" customFormat="1" ht="18" customHeight="1" x14ac:dyDescent="0.2">
      <c r="GE2151" s="84"/>
      <c r="GF2151" s="84"/>
      <c r="GG2151" s="84"/>
      <c r="GH2151" s="84"/>
    </row>
    <row r="2152" spans="187:190" s="2" customFormat="1" ht="18" customHeight="1" x14ac:dyDescent="0.2">
      <c r="GE2152" s="84"/>
      <c r="GF2152" s="84"/>
      <c r="GG2152" s="84"/>
      <c r="GH2152" s="84"/>
    </row>
    <row r="2153" spans="187:190" s="2" customFormat="1" ht="18" customHeight="1" x14ac:dyDescent="0.2">
      <c r="GE2153" s="84"/>
      <c r="GF2153" s="84"/>
      <c r="GG2153" s="84"/>
      <c r="GH2153" s="84"/>
    </row>
    <row r="2154" spans="187:190" s="2" customFormat="1" ht="18" customHeight="1" x14ac:dyDescent="0.2">
      <c r="GE2154" s="84"/>
      <c r="GF2154" s="84"/>
      <c r="GG2154" s="84"/>
      <c r="GH2154" s="84"/>
    </row>
    <row r="2155" spans="187:190" s="2" customFormat="1" ht="18" customHeight="1" x14ac:dyDescent="0.2">
      <c r="GE2155" s="84"/>
      <c r="GF2155" s="84"/>
      <c r="GG2155" s="84"/>
      <c r="GH2155" s="84"/>
    </row>
    <row r="2156" spans="187:190" s="2" customFormat="1" ht="18" customHeight="1" x14ac:dyDescent="0.2">
      <c r="GE2156" s="84"/>
      <c r="GF2156" s="84"/>
      <c r="GG2156" s="84"/>
      <c r="GH2156" s="84"/>
    </row>
    <row r="2157" spans="187:190" s="2" customFormat="1" ht="18" customHeight="1" x14ac:dyDescent="0.2">
      <c r="GE2157" s="84"/>
      <c r="GF2157" s="84"/>
      <c r="GG2157" s="84"/>
      <c r="GH2157" s="84"/>
    </row>
    <row r="2158" spans="187:190" s="2" customFormat="1" ht="18" customHeight="1" x14ac:dyDescent="0.2">
      <c r="GE2158" s="84"/>
      <c r="GF2158" s="84"/>
      <c r="GG2158" s="84"/>
      <c r="GH2158" s="84"/>
    </row>
    <row r="2159" spans="187:190" s="2" customFormat="1" ht="18" customHeight="1" x14ac:dyDescent="0.2">
      <c r="GE2159" s="84"/>
      <c r="GF2159" s="84"/>
      <c r="GG2159" s="84"/>
      <c r="GH2159" s="84"/>
    </row>
    <row r="2160" spans="187:190" s="2" customFormat="1" ht="18" customHeight="1" x14ac:dyDescent="0.2">
      <c r="GE2160" s="84"/>
      <c r="GF2160" s="84"/>
      <c r="GG2160" s="84"/>
      <c r="GH2160" s="84"/>
    </row>
    <row r="2161" spans="187:190" s="2" customFormat="1" ht="18" customHeight="1" x14ac:dyDescent="0.2">
      <c r="GE2161" s="84"/>
      <c r="GF2161" s="84"/>
      <c r="GG2161" s="84"/>
      <c r="GH2161" s="84"/>
    </row>
    <row r="2162" spans="187:190" s="2" customFormat="1" ht="18" customHeight="1" x14ac:dyDescent="0.2">
      <c r="GE2162" s="84"/>
      <c r="GF2162" s="84"/>
      <c r="GG2162" s="84"/>
      <c r="GH2162" s="84"/>
    </row>
    <row r="2163" spans="187:190" s="2" customFormat="1" ht="18" customHeight="1" x14ac:dyDescent="0.2">
      <c r="GE2163" s="84"/>
      <c r="GF2163" s="84"/>
      <c r="GG2163" s="84"/>
      <c r="GH2163" s="84"/>
    </row>
    <row r="2164" spans="187:190" s="2" customFormat="1" ht="18" customHeight="1" x14ac:dyDescent="0.2">
      <c r="GE2164" s="84"/>
      <c r="GF2164" s="84"/>
      <c r="GG2164" s="84"/>
      <c r="GH2164" s="84"/>
    </row>
    <row r="2165" spans="187:190" s="2" customFormat="1" ht="18" customHeight="1" x14ac:dyDescent="0.2">
      <c r="GE2165" s="84"/>
      <c r="GF2165" s="84"/>
      <c r="GG2165" s="84"/>
      <c r="GH2165" s="84"/>
    </row>
    <row r="2166" spans="187:190" s="2" customFormat="1" ht="18" customHeight="1" x14ac:dyDescent="0.2">
      <c r="GE2166" s="84"/>
      <c r="GF2166" s="84"/>
      <c r="GG2166" s="84"/>
      <c r="GH2166" s="84"/>
    </row>
    <row r="2167" spans="187:190" s="2" customFormat="1" ht="18" customHeight="1" x14ac:dyDescent="0.2">
      <c r="GE2167" s="84"/>
      <c r="GF2167" s="84"/>
      <c r="GG2167" s="84"/>
      <c r="GH2167" s="84"/>
    </row>
    <row r="2168" spans="187:190" s="2" customFormat="1" ht="18" customHeight="1" x14ac:dyDescent="0.2">
      <c r="GE2168" s="84"/>
      <c r="GF2168" s="84"/>
      <c r="GG2168" s="84"/>
      <c r="GH2168" s="84"/>
    </row>
    <row r="2169" spans="187:190" s="2" customFormat="1" ht="18" customHeight="1" x14ac:dyDescent="0.2">
      <c r="GE2169" s="84"/>
      <c r="GF2169" s="84"/>
      <c r="GG2169" s="84"/>
      <c r="GH2169" s="84"/>
    </row>
    <row r="2170" spans="187:190" s="2" customFormat="1" ht="18" customHeight="1" x14ac:dyDescent="0.2">
      <c r="GE2170" s="84"/>
      <c r="GF2170" s="84"/>
      <c r="GG2170" s="84"/>
      <c r="GH2170" s="84"/>
    </row>
    <row r="2171" spans="187:190" s="2" customFormat="1" ht="18" customHeight="1" x14ac:dyDescent="0.2">
      <c r="GE2171" s="84"/>
      <c r="GF2171" s="84"/>
      <c r="GG2171" s="84"/>
      <c r="GH2171" s="84"/>
    </row>
    <row r="2172" spans="187:190" s="2" customFormat="1" ht="18" customHeight="1" x14ac:dyDescent="0.2">
      <c r="GE2172" s="84"/>
      <c r="GF2172" s="84"/>
      <c r="GG2172" s="84"/>
      <c r="GH2172" s="84"/>
    </row>
    <row r="2173" spans="187:190" s="2" customFormat="1" ht="18" customHeight="1" x14ac:dyDescent="0.2">
      <c r="GE2173" s="84"/>
      <c r="GF2173" s="84"/>
      <c r="GG2173" s="84"/>
      <c r="GH2173" s="84"/>
    </row>
    <row r="2174" spans="187:190" s="2" customFormat="1" ht="18" customHeight="1" x14ac:dyDescent="0.2">
      <c r="GE2174" s="84"/>
      <c r="GF2174" s="84"/>
      <c r="GG2174" s="84"/>
      <c r="GH2174" s="84"/>
    </row>
    <row r="2175" spans="187:190" s="2" customFormat="1" ht="18" customHeight="1" x14ac:dyDescent="0.2">
      <c r="GE2175" s="84"/>
      <c r="GF2175" s="84"/>
      <c r="GG2175" s="84"/>
      <c r="GH2175" s="84"/>
    </row>
    <row r="2176" spans="187:190" s="2" customFormat="1" ht="18" customHeight="1" x14ac:dyDescent="0.2">
      <c r="GE2176" s="84"/>
      <c r="GF2176" s="84"/>
      <c r="GG2176" s="84"/>
      <c r="GH2176" s="84"/>
    </row>
    <row r="2177" spans="187:190" s="2" customFormat="1" ht="18" customHeight="1" x14ac:dyDescent="0.2">
      <c r="GE2177" s="84"/>
      <c r="GF2177" s="84"/>
      <c r="GG2177" s="84"/>
      <c r="GH2177" s="84"/>
    </row>
    <row r="2178" spans="187:190" s="2" customFormat="1" ht="18" customHeight="1" x14ac:dyDescent="0.2">
      <c r="GE2178" s="84"/>
      <c r="GF2178" s="84"/>
      <c r="GG2178" s="84"/>
      <c r="GH2178" s="84"/>
    </row>
    <row r="2179" spans="187:190" s="2" customFormat="1" ht="18" customHeight="1" x14ac:dyDescent="0.2">
      <c r="GE2179" s="84"/>
      <c r="GF2179" s="84"/>
      <c r="GG2179" s="84"/>
      <c r="GH2179" s="84"/>
    </row>
    <row r="2180" spans="187:190" s="2" customFormat="1" ht="18" customHeight="1" x14ac:dyDescent="0.2">
      <c r="GE2180" s="84"/>
      <c r="GF2180" s="84"/>
      <c r="GG2180" s="84"/>
      <c r="GH2180" s="84"/>
    </row>
    <row r="2181" spans="187:190" s="2" customFormat="1" ht="18" customHeight="1" x14ac:dyDescent="0.2">
      <c r="GE2181" s="84"/>
      <c r="GF2181" s="84"/>
      <c r="GG2181" s="84"/>
      <c r="GH2181" s="84"/>
    </row>
    <row r="2182" spans="187:190" s="2" customFormat="1" ht="18" customHeight="1" x14ac:dyDescent="0.2">
      <c r="GE2182" s="84"/>
      <c r="GF2182" s="84"/>
      <c r="GG2182" s="84"/>
      <c r="GH2182" s="84"/>
    </row>
    <row r="2183" spans="187:190" s="2" customFormat="1" ht="18" customHeight="1" x14ac:dyDescent="0.2">
      <c r="GE2183" s="84"/>
      <c r="GF2183" s="84"/>
      <c r="GG2183" s="84"/>
      <c r="GH2183" s="84"/>
    </row>
    <row r="2184" spans="187:190" s="2" customFormat="1" ht="18" customHeight="1" x14ac:dyDescent="0.2">
      <c r="GE2184" s="84"/>
      <c r="GF2184" s="84"/>
      <c r="GG2184" s="84"/>
      <c r="GH2184" s="84"/>
    </row>
    <row r="2185" spans="187:190" s="2" customFormat="1" ht="18" customHeight="1" x14ac:dyDescent="0.2">
      <c r="GE2185" s="84"/>
      <c r="GF2185" s="84"/>
      <c r="GG2185" s="84"/>
      <c r="GH2185" s="84"/>
    </row>
    <row r="2186" spans="187:190" s="2" customFormat="1" ht="18" customHeight="1" x14ac:dyDescent="0.2">
      <c r="GE2186" s="84"/>
      <c r="GF2186" s="84"/>
      <c r="GG2186" s="84"/>
      <c r="GH2186" s="84"/>
    </row>
    <row r="2187" spans="187:190" s="2" customFormat="1" ht="18" customHeight="1" x14ac:dyDescent="0.2">
      <c r="GE2187" s="84"/>
      <c r="GF2187" s="84"/>
      <c r="GG2187" s="84"/>
      <c r="GH2187" s="84"/>
    </row>
    <row r="2188" spans="187:190" s="2" customFormat="1" ht="18" customHeight="1" x14ac:dyDescent="0.2">
      <c r="GE2188" s="84"/>
      <c r="GF2188" s="84"/>
      <c r="GG2188" s="84"/>
      <c r="GH2188" s="84"/>
    </row>
    <row r="2189" spans="187:190" s="2" customFormat="1" ht="18" customHeight="1" x14ac:dyDescent="0.2">
      <c r="GE2189" s="84"/>
      <c r="GF2189" s="84"/>
      <c r="GG2189" s="84"/>
      <c r="GH2189" s="84"/>
    </row>
    <row r="2190" spans="187:190" s="2" customFormat="1" ht="18" customHeight="1" x14ac:dyDescent="0.2">
      <c r="GE2190" s="84"/>
      <c r="GF2190" s="84"/>
      <c r="GG2190" s="84"/>
      <c r="GH2190" s="84"/>
    </row>
    <row r="2191" spans="187:190" s="2" customFormat="1" ht="18" customHeight="1" x14ac:dyDescent="0.2">
      <c r="GE2191" s="84"/>
      <c r="GF2191" s="84"/>
      <c r="GG2191" s="84"/>
      <c r="GH2191" s="84"/>
    </row>
    <row r="2192" spans="187:190" s="2" customFormat="1" ht="18" customHeight="1" x14ac:dyDescent="0.2">
      <c r="GE2192" s="84"/>
      <c r="GF2192" s="84"/>
      <c r="GG2192" s="84"/>
      <c r="GH2192" s="84"/>
    </row>
    <row r="2193" spans="187:190" s="2" customFormat="1" ht="18" customHeight="1" x14ac:dyDescent="0.2">
      <c r="GE2193" s="84"/>
      <c r="GF2193" s="84"/>
      <c r="GG2193" s="84"/>
      <c r="GH2193" s="84"/>
    </row>
    <row r="2194" spans="187:190" s="2" customFormat="1" ht="18" customHeight="1" x14ac:dyDescent="0.2">
      <c r="GE2194" s="84"/>
      <c r="GF2194" s="84"/>
      <c r="GG2194" s="84"/>
      <c r="GH2194" s="84"/>
    </row>
    <row r="2195" spans="187:190" s="2" customFormat="1" ht="18" customHeight="1" x14ac:dyDescent="0.2">
      <c r="GE2195" s="84"/>
      <c r="GF2195" s="84"/>
      <c r="GG2195" s="84"/>
      <c r="GH2195" s="84"/>
    </row>
    <row r="2196" spans="187:190" s="2" customFormat="1" ht="18" customHeight="1" x14ac:dyDescent="0.2">
      <c r="GE2196" s="84"/>
      <c r="GF2196" s="84"/>
      <c r="GG2196" s="84"/>
      <c r="GH2196" s="84"/>
    </row>
    <row r="2197" spans="187:190" s="2" customFormat="1" ht="18" customHeight="1" x14ac:dyDescent="0.2">
      <c r="GE2197" s="84"/>
      <c r="GF2197" s="84"/>
      <c r="GG2197" s="84"/>
      <c r="GH2197" s="84"/>
    </row>
    <row r="2198" spans="187:190" s="2" customFormat="1" ht="18" customHeight="1" x14ac:dyDescent="0.2">
      <c r="GE2198" s="84"/>
      <c r="GF2198" s="84"/>
      <c r="GG2198" s="84"/>
      <c r="GH2198" s="84"/>
    </row>
    <row r="2199" spans="187:190" s="2" customFormat="1" ht="18" customHeight="1" x14ac:dyDescent="0.2">
      <c r="GE2199" s="84"/>
      <c r="GF2199" s="84"/>
      <c r="GG2199" s="84"/>
      <c r="GH2199" s="84"/>
    </row>
    <row r="2200" spans="187:190" s="2" customFormat="1" ht="18" customHeight="1" x14ac:dyDescent="0.2">
      <c r="GE2200" s="84"/>
      <c r="GF2200" s="84"/>
      <c r="GG2200" s="84"/>
      <c r="GH2200" s="84"/>
    </row>
    <row r="2201" spans="187:190" s="2" customFormat="1" ht="18" customHeight="1" x14ac:dyDescent="0.2">
      <c r="GE2201" s="84"/>
      <c r="GF2201" s="84"/>
      <c r="GG2201" s="84"/>
      <c r="GH2201" s="84"/>
    </row>
    <row r="2202" spans="187:190" s="2" customFormat="1" ht="18" customHeight="1" x14ac:dyDescent="0.2">
      <c r="GE2202" s="84"/>
      <c r="GF2202" s="84"/>
      <c r="GG2202" s="84"/>
      <c r="GH2202" s="84"/>
    </row>
    <row r="2203" spans="187:190" s="2" customFormat="1" ht="18" customHeight="1" x14ac:dyDescent="0.2">
      <c r="GE2203" s="84"/>
      <c r="GF2203" s="84"/>
      <c r="GG2203" s="84"/>
      <c r="GH2203" s="84"/>
    </row>
    <row r="2204" spans="187:190" s="2" customFormat="1" ht="18" customHeight="1" x14ac:dyDescent="0.2">
      <c r="GE2204" s="84"/>
      <c r="GF2204" s="84"/>
      <c r="GG2204" s="84"/>
      <c r="GH2204" s="84"/>
    </row>
    <row r="2205" spans="187:190" s="2" customFormat="1" ht="18" customHeight="1" x14ac:dyDescent="0.2">
      <c r="GE2205" s="84"/>
      <c r="GF2205" s="84"/>
      <c r="GG2205" s="84"/>
      <c r="GH2205" s="84"/>
    </row>
    <row r="2206" spans="187:190" s="2" customFormat="1" ht="18" customHeight="1" x14ac:dyDescent="0.2">
      <c r="GE2206" s="84"/>
      <c r="GF2206" s="84"/>
      <c r="GG2206" s="84"/>
      <c r="GH2206" s="84"/>
    </row>
    <row r="2207" spans="187:190" s="2" customFormat="1" ht="18" customHeight="1" x14ac:dyDescent="0.2">
      <c r="GE2207" s="84"/>
      <c r="GF2207" s="84"/>
      <c r="GG2207" s="84"/>
      <c r="GH2207" s="84"/>
    </row>
    <row r="2208" spans="187:190" s="2" customFormat="1" ht="18" customHeight="1" x14ac:dyDescent="0.2">
      <c r="GE2208" s="84"/>
      <c r="GF2208" s="84"/>
      <c r="GG2208" s="84"/>
      <c r="GH2208" s="84"/>
    </row>
    <row r="2209" spans="187:190" s="2" customFormat="1" ht="18" customHeight="1" x14ac:dyDescent="0.2">
      <c r="GE2209" s="84"/>
      <c r="GF2209" s="84"/>
      <c r="GG2209" s="84"/>
      <c r="GH2209" s="84"/>
    </row>
    <row r="2210" spans="187:190" s="2" customFormat="1" ht="18" customHeight="1" x14ac:dyDescent="0.2">
      <c r="GE2210" s="84"/>
      <c r="GF2210" s="84"/>
      <c r="GG2210" s="84"/>
      <c r="GH2210" s="84"/>
    </row>
    <row r="2211" spans="187:190" s="2" customFormat="1" ht="18" customHeight="1" x14ac:dyDescent="0.2">
      <c r="GE2211" s="84"/>
      <c r="GF2211" s="84"/>
      <c r="GG2211" s="84"/>
      <c r="GH2211" s="84"/>
    </row>
    <row r="2212" spans="187:190" s="2" customFormat="1" ht="18" customHeight="1" x14ac:dyDescent="0.2">
      <c r="GE2212" s="84"/>
      <c r="GF2212" s="84"/>
      <c r="GG2212" s="84"/>
      <c r="GH2212" s="84"/>
    </row>
    <row r="2213" spans="187:190" s="2" customFormat="1" ht="18" customHeight="1" x14ac:dyDescent="0.2">
      <c r="GE2213" s="84"/>
      <c r="GF2213" s="84"/>
      <c r="GG2213" s="84"/>
      <c r="GH2213" s="84"/>
    </row>
    <row r="2214" spans="187:190" s="2" customFormat="1" ht="18" customHeight="1" x14ac:dyDescent="0.2">
      <c r="GE2214" s="84"/>
      <c r="GF2214" s="84"/>
      <c r="GG2214" s="84"/>
      <c r="GH2214" s="84"/>
    </row>
    <row r="2215" spans="187:190" s="2" customFormat="1" ht="18" customHeight="1" x14ac:dyDescent="0.2">
      <c r="GE2215" s="84"/>
      <c r="GF2215" s="84"/>
      <c r="GG2215" s="84"/>
      <c r="GH2215" s="84"/>
    </row>
    <row r="2216" spans="187:190" s="2" customFormat="1" ht="18" customHeight="1" x14ac:dyDescent="0.2">
      <c r="GE2216" s="84"/>
      <c r="GF2216" s="84"/>
      <c r="GG2216" s="84"/>
      <c r="GH2216" s="84"/>
    </row>
    <row r="2217" spans="187:190" s="2" customFormat="1" ht="18" customHeight="1" x14ac:dyDescent="0.2">
      <c r="GE2217" s="84"/>
      <c r="GF2217" s="84"/>
      <c r="GG2217" s="84"/>
      <c r="GH2217" s="84"/>
    </row>
    <row r="2218" spans="187:190" s="2" customFormat="1" ht="18" customHeight="1" x14ac:dyDescent="0.2">
      <c r="GE2218" s="84"/>
      <c r="GF2218" s="84"/>
      <c r="GG2218" s="84"/>
      <c r="GH2218" s="84"/>
    </row>
    <row r="2219" spans="187:190" s="2" customFormat="1" ht="18" customHeight="1" x14ac:dyDescent="0.2">
      <c r="GE2219" s="84"/>
      <c r="GF2219" s="84"/>
      <c r="GG2219" s="84"/>
      <c r="GH2219" s="84"/>
    </row>
    <row r="2220" spans="187:190" s="2" customFormat="1" ht="18" customHeight="1" x14ac:dyDescent="0.2">
      <c r="GE2220" s="84"/>
      <c r="GF2220" s="84"/>
      <c r="GG2220" s="84"/>
      <c r="GH2220" s="84"/>
    </row>
    <row r="2221" spans="187:190" s="2" customFormat="1" ht="18" customHeight="1" x14ac:dyDescent="0.2">
      <c r="GE2221" s="84"/>
      <c r="GF2221" s="84"/>
      <c r="GG2221" s="84"/>
      <c r="GH2221" s="84"/>
    </row>
    <row r="2222" spans="187:190" s="2" customFormat="1" ht="18" customHeight="1" x14ac:dyDescent="0.2">
      <c r="GE2222" s="84"/>
      <c r="GF2222" s="84"/>
      <c r="GG2222" s="84"/>
      <c r="GH2222" s="84"/>
    </row>
    <row r="2223" spans="187:190" s="2" customFormat="1" ht="18" customHeight="1" x14ac:dyDescent="0.2">
      <c r="GE2223" s="84"/>
      <c r="GF2223" s="84"/>
      <c r="GG2223" s="84"/>
      <c r="GH2223" s="84"/>
    </row>
    <row r="2224" spans="187:190" s="2" customFormat="1" ht="18" customHeight="1" x14ac:dyDescent="0.2">
      <c r="GE2224" s="84"/>
      <c r="GF2224" s="84"/>
      <c r="GG2224" s="84"/>
      <c r="GH2224" s="84"/>
    </row>
    <row r="2225" spans="187:190" s="2" customFormat="1" ht="18" customHeight="1" x14ac:dyDescent="0.2">
      <c r="GE2225" s="84"/>
      <c r="GF2225" s="84"/>
      <c r="GG2225" s="84"/>
      <c r="GH2225" s="84"/>
    </row>
    <row r="2226" spans="187:190" s="2" customFormat="1" ht="18" customHeight="1" x14ac:dyDescent="0.2">
      <c r="GE2226" s="84"/>
      <c r="GF2226" s="84"/>
      <c r="GG2226" s="84"/>
      <c r="GH2226" s="84"/>
    </row>
    <row r="2227" spans="187:190" s="2" customFormat="1" ht="18" customHeight="1" x14ac:dyDescent="0.2">
      <c r="GE2227" s="84"/>
      <c r="GF2227" s="84"/>
      <c r="GG2227" s="84"/>
      <c r="GH2227" s="84"/>
    </row>
    <row r="2228" spans="187:190" s="2" customFormat="1" ht="18" customHeight="1" x14ac:dyDescent="0.2">
      <c r="GE2228" s="84"/>
      <c r="GF2228" s="84"/>
      <c r="GG2228" s="84"/>
      <c r="GH2228" s="84"/>
    </row>
    <row r="2229" spans="187:190" s="2" customFormat="1" ht="18" customHeight="1" x14ac:dyDescent="0.2">
      <c r="GE2229" s="84"/>
      <c r="GF2229" s="84"/>
      <c r="GG2229" s="84"/>
      <c r="GH2229" s="84"/>
    </row>
    <row r="2230" spans="187:190" s="2" customFormat="1" ht="18" customHeight="1" x14ac:dyDescent="0.2">
      <c r="GE2230" s="84"/>
      <c r="GF2230" s="84"/>
      <c r="GG2230" s="84"/>
      <c r="GH2230" s="84"/>
    </row>
    <row r="2231" spans="187:190" s="2" customFormat="1" ht="18" customHeight="1" x14ac:dyDescent="0.2">
      <c r="GE2231" s="84"/>
      <c r="GF2231" s="84"/>
      <c r="GG2231" s="84"/>
      <c r="GH2231" s="84"/>
    </row>
    <row r="2232" spans="187:190" s="2" customFormat="1" ht="18" customHeight="1" x14ac:dyDescent="0.2">
      <c r="GE2232" s="84"/>
      <c r="GF2232" s="84"/>
      <c r="GG2232" s="84"/>
      <c r="GH2232" s="84"/>
    </row>
    <row r="2233" spans="187:190" s="2" customFormat="1" ht="18" customHeight="1" x14ac:dyDescent="0.2">
      <c r="GE2233" s="84"/>
      <c r="GF2233" s="84"/>
      <c r="GG2233" s="84"/>
      <c r="GH2233" s="84"/>
    </row>
    <row r="2234" spans="187:190" s="2" customFormat="1" ht="18" customHeight="1" x14ac:dyDescent="0.2">
      <c r="GE2234" s="84"/>
      <c r="GF2234" s="84"/>
      <c r="GG2234" s="84"/>
      <c r="GH2234" s="84"/>
    </row>
    <row r="2235" spans="187:190" s="2" customFormat="1" ht="18" customHeight="1" x14ac:dyDescent="0.2">
      <c r="GE2235" s="84"/>
      <c r="GF2235" s="84"/>
      <c r="GG2235" s="84"/>
      <c r="GH2235" s="84"/>
    </row>
    <row r="2236" spans="187:190" s="2" customFormat="1" ht="18" customHeight="1" x14ac:dyDescent="0.2">
      <c r="GE2236" s="84"/>
      <c r="GF2236" s="84"/>
      <c r="GG2236" s="84"/>
      <c r="GH2236" s="84"/>
    </row>
    <row r="2237" spans="187:190" s="2" customFormat="1" ht="18" customHeight="1" x14ac:dyDescent="0.2">
      <c r="GE2237" s="84"/>
      <c r="GF2237" s="84"/>
      <c r="GG2237" s="84"/>
      <c r="GH2237" s="84"/>
    </row>
    <row r="2238" spans="187:190" s="2" customFormat="1" ht="18" customHeight="1" x14ac:dyDescent="0.2">
      <c r="GE2238" s="84"/>
      <c r="GF2238" s="84"/>
      <c r="GG2238" s="84"/>
      <c r="GH2238" s="84"/>
    </row>
    <row r="2239" spans="187:190" s="2" customFormat="1" ht="18" customHeight="1" x14ac:dyDescent="0.2">
      <c r="GE2239" s="84"/>
      <c r="GF2239" s="84"/>
      <c r="GG2239" s="84"/>
      <c r="GH2239" s="84"/>
    </row>
    <row r="2240" spans="187:190" s="2" customFormat="1" ht="18" customHeight="1" x14ac:dyDescent="0.2">
      <c r="GE2240" s="84"/>
      <c r="GF2240" s="84"/>
      <c r="GG2240" s="84"/>
      <c r="GH2240" s="84"/>
    </row>
    <row r="2241" spans="187:190" s="2" customFormat="1" ht="18" customHeight="1" x14ac:dyDescent="0.2">
      <c r="GE2241" s="84"/>
      <c r="GF2241" s="84"/>
      <c r="GG2241" s="84"/>
      <c r="GH2241" s="84"/>
    </row>
    <row r="2242" spans="187:190" s="2" customFormat="1" ht="18" customHeight="1" x14ac:dyDescent="0.2">
      <c r="GE2242" s="84"/>
      <c r="GF2242" s="84"/>
      <c r="GG2242" s="84"/>
      <c r="GH2242" s="84"/>
    </row>
    <row r="2243" spans="187:190" s="2" customFormat="1" ht="18" customHeight="1" x14ac:dyDescent="0.2">
      <c r="GE2243" s="84"/>
      <c r="GF2243" s="84"/>
      <c r="GG2243" s="84"/>
      <c r="GH2243" s="84"/>
    </row>
    <row r="2244" spans="187:190" s="2" customFormat="1" ht="18" customHeight="1" x14ac:dyDescent="0.2">
      <c r="GE2244" s="84"/>
      <c r="GF2244" s="84"/>
      <c r="GG2244" s="84"/>
      <c r="GH2244" s="84"/>
    </row>
    <row r="2245" spans="187:190" s="2" customFormat="1" ht="18" customHeight="1" x14ac:dyDescent="0.2">
      <c r="GE2245" s="84"/>
      <c r="GF2245" s="84"/>
      <c r="GG2245" s="84"/>
      <c r="GH2245" s="84"/>
    </row>
    <row r="2246" spans="187:190" s="2" customFormat="1" ht="18" customHeight="1" x14ac:dyDescent="0.2">
      <c r="GE2246" s="84"/>
      <c r="GF2246" s="84"/>
      <c r="GG2246" s="84"/>
      <c r="GH2246" s="84"/>
    </row>
    <row r="2247" spans="187:190" s="2" customFormat="1" ht="18" customHeight="1" x14ac:dyDescent="0.2">
      <c r="GE2247" s="84"/>
      <c r="GF2247" s="84"/>
      <c r="GG2247" s="84"/>
      <c r="GH2247" s="84"/>
    </row>
    <row r="2248" spans="187:190" s="2" customFormat="1" ht="18" customHeight="1" x14ac:dyDescent="0.2">
      <c r="GE2248" s="84"/>
      <c r="GF2248" s="84"/>
      <c r="GG2248" s="84"/>
      <c r="GH2248" s="84"/>
    </row>
    <row r="2249" spans="187:190" s="2" customFormat="1" ht="18" customHeight="1" x14ac:dyDescent="0.2">
      <c r="GE2249" s="84"/>
      <c r="GF2249" s="84"/>
      <c r="GG2249" s="84"/>
      <c r="GH2249" s="84"/>
    </row>
    <row r="2250" spans="187:190" s="2" customFormat="1" ht="18" customHeight="1" x14ac:dyDescent="0.2">
      <c r="GE2250" s="84"/>
      <c r="GF2250" s="84"/>
      <c r="GG2250" s="84"/>
      <c r="GH2250" s="84"/>
    </row>
    <row r="2251" spans="187:190" s="2" customFormat="1" ht="18" customHeight="1" x14ac:dyDescent="0.2">
      <c r="GE2251" s="84"/>
      <c r="GF2251" s="84"/>
      <c r="GG2251" s="84"/>
      <c r="GH2251" s="84"/>
    </row>
    <row r="2252" spans="187:190" s="2" customFormat="1" ht="18" customHeight="1" x14ac:dyDescent="0.2">
      <c r="GE2252" s="84"/>
      <c r="GF2252" s="84"/>
      <c r="GG2252" s="84"/>
      <c r="GH2252" s="84"/>
    </row>
    <row r="2253" spans="187:190" s="2" customFormat="1" ht="18" customHeight="1" x14ac:dyDescent="0.2">
      <c r="GE2253" s="84"/>
      <c r="GF2253" s="84"/>
      <c r="GG2253" s="84"/>
      <c r="GH2253" s="84"/>
    </row>
    <row r="2254" spans="187:190" s="2" customFormat="1" ht="18" customHeight="1" x14ac:dyDescent="0.2">
      <c r="GE2254" s="84"/>
      <c r="GF2254" s="84"/>
      <c r="GG2254" s="84"/>
      <c r="GH2254" s="84"/>
    </row>
    <row r="2255" spans="187:190" s="2" customFormat="1" ht="18" customHeight="1" x14ac:dyDescent="0.2">
      <c r="GE2255" s="84"/>
      <c r="GF2255" s="84"/>
      <c r="GG2255" s="84"/>
      <c r="GH2255" s="84"/>
    </row>
    <row r="2256" spans="187:190" s="2" customFormat="1" ht="18" customHeight="1" x14ac:dyDescent="0.2">
      <c r="GE2256" s="84"/>
      <c r="GF2256" s="84"/>
      <c r="GG2256" s="84"/>
      <c r="GH2256" s="84"/>
    </row>
    <row r="2257" spans="187:190" s="2" customFormat="1" ht="18" customHeight="1" x14ac:dyDescent="0.2">
      <c r="GE2257" s="84"/>
      <c r="GF2257" s="84"/>
      <c r="GG2257" s="84"/>
      <c r="GH2257" s="84"/>
    </row>
    <row r="2258" spans="187:190" s="2" customFormat="1" ht="18" customHeight="1" x14ac:dyDescent="0.2">
      <c r="GE2258" s="84"/>
      <c r="GF2258" s="84"/>
      <c r="GG2258" s="84"/>
      <c r="GH2258" s="84"/>
    </row>
    <row r="2259" spans="187:190" s="2" customFormat="1" ht="18" customHeight="1" x14ac:dyDescent="0.2">
      <c r="GE2259" s="84"/>
      <c r="GF2259" s="84"/>
      <c r="GG2259" s="84"/>
      <c r="GH2259" s="84"/>
    </row>
    <row r="2260" spans="187:190" s="2" customFormat="1" ht="18" customHeight="1" x14ac:dyDescent="0.2">
      <c r="GE2260" s="84"/>
      <c r="GF2260" s="84"/>
      <c r="GG2260" s="84"/>
      <c r="GH2260" s="84"/>
    </row>
    <row r="2261" spans="187:190" s="2" customFormat="1" ht="18" customHeight="1" x14ac:dyDescent="0.2">
      <c r="GE2261" s="84"/>
      <c r="GF2261" s="84"/>
      <c r="GG2261" s="84"/>
      <c r="GH2261" s="84"/>
    </row>
    <row r="2262" spans="187:190" s="2" customFormat="1" ht="18" customHeight="1" x14ac:dyDescent="0.2">
      <c r="GE2262" s="84"/>
      <c r="GF2262" s="84"/>
      <c r="GG2262" s="84"/>
      <c r="GH2262" s="84"/>
    </row>
    <row r="2263" spans="187:190" s="2" customFormat="1" ht="18" customHeight="1" x14ac:dyDescent="0.2">
      <c r="GE2263" s="84"/>
      <c r="GF2263" s="84"/>
      <c r="GG2263" s="84"/>
      <c r="GH2263" s="84"/>
    </row>
    <row r="2264" spans="187:190" s="2" customFormat="1" ht="18" customHeight="1" x14ac:dyDescent="0.2">
      <c r="GE2264" s="84"/>
      <c r="GF2264" s="84"/>
      <c r="GG2264" s="84"/>
      <c r="GH2264" s="84"/>
    </row>
    <row r="2265" spans="187:190" s="2" customFormat="1" ht="18" customHeight="1" x14ac:dyDescent="0.2">
      <c r="GE2265" s="84"/>
      <c r="GF2265" s="84"/>
      <c r="GG2265" s="84"/>
      <c r="GH2265" s="84"/>
    </row>
    <row r="2266" spans="187:190" s="2" customFormat="1" ht="18" customHeight="1" x14ac:dyDescent="0.2">
      <c r="GE2266" s="84"/>
      <c r="GF2266" s="84"/>
      <c r="GG2266" s="84"/>
      <c r="GH2266" s="84"/>
    </row>
    <row r="2267" spans="187:190" s="2" customFormat="1" ht="18" customHeight="1" x14ac:dyDescent="0.2">
      <c r="GE2267" s="84"/>
      <c r="GF2267" s="84"/>
      <c r="GG2267" s="84"/>
      <c r="GH2267" s="84"/>
    </row>
    <row r="2268" spans="187:190" s="2" customFormat="1" ht="18" customHeight="1" x14ac:dyDescent="0.2">
      <c r="GE2268" s="84"/>
      <c r="GF2268" s="84"/>
      <c r="GG2268" s="84"/>
      <c r="GH2268" s="84"/>
    </row>
    <row r="2269" spans="187:190" s="2" customFormat="1" ht="18" customHeight="1" x14ac:dyDescent="0.2">
      <c r="GE2269" s="84"/>
      <c r="GF2269" s="84"/>
      <c r="GG2269" s="84"/>
      <c r="GH2269" s="84"/>
    </row>
    <row r="2270" spans="187:190" s="2" customFormat="1" ht="18" customHeight="1" x14ac:dyDescent="0.2">
      <c r="GE2270" s="84"/>
      <c r="GF2270" s="84"/>
      <c r="GG2270" s="84"/>
      <c r="GH2270" s="84"/>
    </row>
    <row r="2271" spans="187:190" s="2" customFormat="1" ht="18" customHeight="1" x14ac:dyDescent="0.2">
      <c r="GE2271" s="84"/>
      <c r="GF2271" s="84"/>
      <c r="GG2271" s="84"/>
      <c r="GH2271" s="84"/>
    </row>
    <row r="2272" spans="187:190" s="2" customFormat="1" ht="18" customHeight="1" x14ac:dyDescent="0.2">
      <c r="GE2272" s="84"/>
      <c r="GF2272" s="84"/>
      <c r="GG2272" s="84"/>
      <c r="GH2272" s="84"/>
    </row>
    <row r="2273" spans="187:190" s="2" customFormat="1" ht="18" customHeight="1" x14ac:dyDescent="0.2">
      <c r="GE2273" s="84"/>
      <c r="GF2273" s="84"/>
      <c r="GG2273" s="84"/>
      <c r="GH2273" s="84"/>
    </row>
    <row r="2274" spans="187:190" s="2" customFormat="1" ht="18" customHeight="1" x14ac:dyDescent="0.2">
      <c r="GE2274" s="84"/>
      <c r="GF2274" s="84"/>
      <c r="GG2274" s="84"/>
      <c r="GH2274" s="84"/>
    </row>
    <row r="2275" spans="187:190" s="2" customFormat="1" ht="18" customHeight="1" x14ac:dyDescent="0.2">
      <c r="GE2275" s="84"/>
      <c r="GF2275" s="84"/>
      <c r="GG2275" s="84"/>
      <c r="GH2275" s="84"/>
    </row>
    <row r="2276" spans="187:190" s="2" customFormat="1" ht="18" customHeight="1" x14ac:dyDescent="0.2">
      <c r="GE2276" s="84"/>
      <c r="GF2276" s="84"/>
      <c r="GG2276" s="84"/>
      <c r="GH2276" s="84"/>
    </row>
    <row r="2277" spans="187:190" s="2" customFormat="1" ht="18" customHeight="1" x14ac:dyDescent="0.2">
      <c r="GE2277" s="84"/>
      <c r="GF2277" s="84"/>
      <c r="GG2277" s="84"/>
      <c r="GH2277" s="84"/>
    </row>
    <row r="2278" spans="187:190" s="2" customFormat="1" ht="18" customHeight="1" x14ac:dyDescent="0.2">
      <c r="GE2278" s="84"/>
      <c r="GF2278" s="84"/>
      <c r="GG2278" s="84"/>
      <c r="GH2278" s="84"/>
    </row>
    <row r="2279" spans="187:190" s="2" customFormat="1" ht="18" customHeight="1" x14ac:dyDescent="0.2">
      <c r="GE2279" s="84"/>
      <c r="GF2279" s="84"/>
      <c r="GG2279" s="84"/>
      <c r="GH2279" s="84"/>
    </row>
    <row r="2280" spans="187:190" s="2" customFormat="1" ht="18" customHeight="1" x14ac:dyDescent="0.2">
      <c r="GE2280" s="84"/>
      <c r="GF2280" s="84"/>
      <c r="GG2280" s="84"/>
      <c r="GH2280" s="84"/>
    </row>
    <row r="2281" spans="187:190" s="2" customFormat="1" ht="18" customHeight="1" x14ac:dyDescent="0.2">
      <c r="GE2281" s="84"/>
      <c r="GF2281" s="84"/>
      <c r="GG2281" s="84"/>
      <c r="GH2281" s="84"/>
    </row>
    <row r="2282" spans="187:190" s="2" customFormat="1" ht="18" customHeight="1" x14ac:dyDescent="0.2">
      <c r="GE2282" s="84"/>
      <c r="GF2282" s="84"/>
      <c r="GG2282" s="84"/>
      <c r="GH2282" s="84"/>
    </row>
    <row r="2283" spans="187:190" s="2" customFormat="1" ht="18" customHeight="1" x14ac:dyDescent="0.2">
      <c r="GE2283" s="84"/>
      <c r="GF2283" s="84"/>
      <c r="GG2283" s="84"/>
      <c r="GH2283" s="84"/>
    </row>
    <row r="2284" spans="187:190" s="2" customFormat="1" ht="18" customHeight="1" x14ac:dyDescent="0.2">
      <c r="GE2284" s="84"/>
      <c r="GF2284" s="84"/>
      <c r="GG2284" s="84"/>
      <c r="GH2284" s="84"/>
    </row>
    <row r="2285" spans="187:190" s="2" customFormat="1" ht="18" customHeight="1" x14ac:dyDescent="0.2">
      <c r="GE2285" s="84"/>
      <c r="GF2285" s="84"/>
      <c r="GG2285" s="84"/>
      <c r="GH2285" s="84"/>
    </row>
    <row r="2286" spans="187:190" s="2" customFormat="1" ht="18" customHeight="1" x14ac:dyDescent="0.2">
      <c r="GE2286" s="84"/>
      <c r="GF2286" s="84"/>
      <c r="GG2286" s="84"/>
      <c r="GH2286" s="84"/>
    </row>
    <row r="2287" spans="187:190" s="2" customFormat="1" ht="18" customHeight="1" x14ac:dyDescent="0.2">
      <c r="GE2287" s="84"/>
      <c r="GF2287" s="84"/>
      <c r="GG2287" s="84"/>
      <c r="GH2287" s="84"/>
    </row>
    <row r="2288" spans="187:190" s="2" customFormat="1" ht="18" customHeight="1" x14ac:dyDescent="0.2">
      <c r="GE2288" s="84"/>
      <c r="GF2288" s="84"/>
      <c r="GG2288" s="84"/>
      <c r="GH2288" s="84"/>
    </row>
    <row r="2289" spans="187:190" s="2" customFormat="1" ht="18" customHeight="1" x14ac:dyDescent="0.2">
      <c r="GE2289" s="84"/>
      <c r="GF2289" s="84"/>
      <c r="GG2289" s="84"/>
      <c r="GH2289" s="84"/>
    </row>
    <row r="2290" spans="187:190" s="2" customFormat="1" ht="18" customHeight="1" x14ac:dyDescent="0.2">
      <c r="GE2290" s="84"/>
      <c r="GF2290" s="84"/>
      <c r="GG2290" s="84"/>
      <c r="GH2290" s="84"/>
    </row>
    <row r="2291" spans="187:190" s="2" customFormat="1" ht="18" customHeight="1" x14ac:dyDescent="0.2">
      <c r="GE2291" s="84"/>
      <c r="GF2291" s="84"/>
      <c r="GG2291" s="84"/>
      <c r="GH2291" s="84"/>
    </row>
    <row r="2292" spans="187:190" s="2" customFormat="1" ht="18" customHeight="1" x14ac:dyDescent="0.2">
      <c r="GE2292" s="84"/>
      <c r="GF2292" s="84"/>
      <c r="GG2292" s="84"/>
      <c r="GH2292" s="84"/>
    </row>
    <row r="2293" spans="187:190" s="2" customFormat="1" ht="18" customHeight="1" x14ac:dyDescent="0.2">
      <c r="GE2293" s="84"/>
      <c r="GF2293" s="84"/>
      <c r="GG2293" s="84"/>
      <c r="GH2293" s="84"/>
    </row>
    <row r="2294" spans="187:190" s="2" customFormat="1" ht="18" customHeight="1" x14ac:dyDescent="0.2">
      <c r="GE2294" s="84"/>
      <c r="GF2294" s="84"/>
      <c r="GG2294" s="84"/>
      <c r="GH2294" s="84"/>
    </row>
    <row r="2295" spans="187:190" s="2" customFormat="1" ht="18" customHeight="1" x14ac:dyDescent="0.2">
      <c r="GE2295" s="84"/>
      <c r="GF2295" s="84"/>
      <c r="GG2295" s="84"/>
      <c r="GH2295" s="84"/>
    </row>
    <row r="2296" spans="187:190" s="2" customFormat="1" ht="18" customHeight="1" x14ac:dyDescent="0.2">
      <c r="GE2296" s="84"/>
      <c r="GF2296" s="84"/>
      <c r="GG2296" s="84"/>
      <c r="GH2296" s="84"/>
    </row>
    <row r="2297" spans="187:190" s="2" customFormat="1" ht="18" customHeight="1" x14ac:dyDescent="0.2">
      <c r="GE2297" s="84"/>
      <c r="GF2297" s="84"/>
      <c r="GG2297" s="84"/>
      <c r="GH2297" s="84"/>
    </row>
    <row r="2298" spans="187:190" s="2" customFormat="1" ht="18" customHeight="1" x14ac:dyDescent="0.2">
      <c r="GE2298" s="84"/>
      <c r="GF2298" s="84"/>
      <c r="GG2298" s="84"/>
      <c r="GH2298" s="84"/>
    </row>
    <row r="2299" spans="187:190" s="2" customFormat="1" ht="18" customHeight="1" x14ac:dyDescent="0.2">
      <c r="GE2299" s="84"/>
      <c r="GF2299" s="84"/>
      <c r="GG2299" s="84"/>
      <c r="GH2299" s="84"/>
    </row>
    <row r="2300" spans="187:190" s="2" customFormat="1" ht="18" customHeight="1" x14ac:dyDescent="0.2">
      <c r="GE2300" s="84"/>
      <c r="GF2300" s="84"/>
      <c r="GG2300" s="84"/>
      <c r="GH2300" s="84"/>
    </row>
    <row r="2301" spans="187:190" s="2" customFormat="1" ht="18" customHeight="1" x14ac:dyDescent="0.2">
      <c r="GE2301" s="84"/>
      <c r="GF2301" s="84"/>
      <c r="GG2301" s="84"/>
      <c r="GH2301" s="84"/>
    </row>
    <row r="2302" spans="187:190" s="2" customFormat="1" ht="18" customHeight="1" x14ac:dyDescent="0.2">
      <c r="GE2302" s="84"/>
      <c r="GF2302" s="84"/>
      <c r="GG2302" s="84"/>
      <c r="GH2302" s="84"/>
    </row>
    <row r="2303" spans="187:190" s="2" customFormat="1" ht="18" customHeight="1" x14ac:dyDescent="0.2">
      <c r="GE2303" s="84"/>
      <c r="GF2303" s="84"/>
      <c r="GG2303" s="84"/>
      <c r="GH2303" s="84"/>
    </row>
    <row r="2304" spans="187:190" s="2" customFormat="1" ht="18" customHeight="1" x14ac:dyDescent="0.2">
      <c r="GE2304" s="84"/>
      <c r="GF2304" s="84"/>
      <c r="GG2304" s="84"/>
      <c r="GH2304" s="84"/>
    </row>
    <row r="2305" spans="187:190" s="2" customFormat="1" ht="18" customHeight="1" x14ac:dyDescent="0.2">
      <c r="GE2305" s="84"/>
      <c r="GF2305" s="84"/>
      <c r="GG2305" s="84"/>
      <c r="GH2305" s="84"/>
    </row>
    <row r="2306" spans="187:190" s="2" customFormat="1" ht="18" customHeight="1" x14ac:dyDescent="0.2">
      <c r="GE2306" s="84"/>
      <c r="GF2306" s="84"/>
      <c r="GG2306" s="84"/>
      <c r="GH2306" s="84"/>
    </row>
    <row r="2307" spans="187:190" s="2" customFormat="1" ht="18" customHeight="1" x14ac:dyDescent="0.2">
      <c r="GE2307" s="84"/>
      <c r="GF2307" s="84"/>
      <c r="GG2307" s="84"/>
      <c r="GH2307" s="84"/>
    </row>
    <row r="2308" spans="187:190" s="2" customFormat="1" ht="18" customHeight="1" x14ac:dyDescent="0.2">
      <c r="GE2308" s="84"/>
      <c r="GF2308" s="84"/>
      <c r="GG2308" s="84"/>
      <c r="GH2308" s="84"/>
    </row>
    <row r="2309" spans="187:190" s="2" customFormat="1" ht="18" customHeight="1" x14ac:dyDescent="0.2">
      <c r="GE2309" s="84"/>
      <c r="GF2309" s="84"/>
      <c r="GG2309" s="84"/>
      <c r="GH2309" s="84"/>
    </row>
    <row r="2310" spans="187:190" s="2" customFormat="1" ht="18" customHeight="1" x14ac:dyDescent="0.2">
      <c r="GE2310" s="84"/>
      <c r="GF2310" s="84"/>
      <c r="GG2310" s="84"/>
      <c r="GH2310" s="84"/>
    </row>
    <row r="2311" spans="187:190" s="2" customFormat="1" ht="18" customHeight="1" x14ac:dyDescent="0.2">
      <c r="GE2311" s="84"/>
      <c r="GF2311" s="84"/>
      <c r="GG2311" s="84"/>
      <c r="GH2311" s="84"/>
    </row>
    <row r="2312" spans="187:190" s="2" customFormat="1" ht="18" customHeight="1" x14ac:dyDescent="0.2">
      <c r="GE2312" s="84"/>
      <c r="GF2312" s="84"/>
      <c r="GG2312" s="84"/>
      <c r="GH2312" s="84"/>
    </row>
    <row r="2313" spans="187:190" s="2" customFormat="1" ht="18" customHeight="1" x14ac:dyDescent="0.2">
      <c r="GE2313" s="84"/>
      <c r="GF2313" s="84"/>
      <c r="GG2313" s="84"/>
      <c r="GH2313" s="84"/>
    </row>
    <row r="2314" spans="187:190" s="2" customFormat="1" ht="18" customHeight="1" x14ac:dyDescent="0.2">
      <c r="GE2314" s="84"/>
      <c r="GF2314" s="84"/>
      <c r="GG2314" s="84"/>
      <c r="GH2314" s="84"/>
    </row>
    <row r="2315" spans="187:190" s="2" customFormat="1" ht="18" customHeight="1" x14ac:dyDescent="0.2">
      <c r="GE2315" s="84"/>
      <c r="GF2315" s="84"/>
      <c r="GG2315" s="84"/>
      <c r="GH2315" s="84"/>
    </row>
    <row r="2316" spans="187:190" s="2" customFormat="1" ht="18" customHeight="1" x14ac:dyDescent="0.2">
      <c r="GE2316" s="84"/>
      <c r="GF2316" s="84"/>
      <c r="GG2316" s="84"/>
      <c r="GH2316" s="84"/>
    </row>
    <row r="2317" spans="187:190" s="2" customFormat="1" ht="18" customHeight="1" x14ac:dyDescent="0.2">
      <c r="GE2317" s="84"/>
      <c r="GF2317" s="84"/>
      <c r="GG2317" s="84"/>
      <c r="GH2317" s="84"/>
    </row>
    <row r="2318" spans="187:190" s="2" customFormat="1" ht="18" customHeight="1" x14ac:dyDescent="0.2">
      <c r="GE2318" s="84"/>
      <c r="GF2318" s="84"/>
      <c r="GG2318" s="84"/>
      <c r="GH2318" s="84"/>
    </row>
    <row r="2319" spans="187:190" s="2" customFormat="1" ht="18" customHeight="1" x14ac:dyDescent="0.2">
      <c r="GE2319" s="84"/>
      <c r="GF2319" s="84"/>
      <c r="GG2319" s="84"/>
      <c r="GH2319" s="84"/>
    </row>
    <row r="2320" spans="187:190" s="2" customFormat="1" ht="18" customHeight="1" x14ac:dyDescent="0.2">
      <c r="GE2320" s="84"/>
      <c r="GF2320" s="84"/>
      <c r="GG2320" s="84"/>
      <c r="GH2320" s="84"/>
    </row>
    <row r="2321" spans="187:190" s="2" customFormat="1" ht="18" customHeight="1" x14ac:dyDescent="0.2">
      <c r="GE2321" s="84"/>
      <c r="GF2321" s="84"/>
      <c r="GG2321" s="84"/>
      <c r="GH2321" s="84"/>
    </row>
    <row r="2322" spans="187:190" s="2" customFormat="1" ht="18" customHeight="1" x14ac:dyDescent="0.2">
      <c r="GE2322" s="84"/>
      <c r="GF2322" s="84"/>
      <c r="GG2322" s="84"/>
      <c r="GH2322" s="84"/>
    </row>
    <row r="2323" spans="187:190" s="2" customFormat="1" ht="18" customHeight="1" x14ac:dyDescent="0.2">
      <c r="GE2323" s="84"/>
      <c r="GF2323" s="84"/>
      <c r="GG2323" s="84"/>
      <c r="GH2323" s="84"/>
    </row>
    <row r="2324" spans="187:190" s="2" customFormat="1" ht="18" customHeight="1" x14ac:dyDescent="0.2">
      <c r="GE2324" s="84"/>
      <c r="GF2324" s="84"/>
      <c r="GG2324" s="84"/>
      <c r="GH2324" s="84"/>
    </row>
    <row r="2325" spans="187:190" s="2" customFormat="1" ht="18" customHeight="1" x14ac:dyDescent="0.2">
      <c r="GE2325" s="84"/>
      <c r="GF2325" s="84"/>
      <c r="GG2325" s="84"/>
      <c r="GH2325" s="84"/>
    </row>
    <row r="2326" spans="187:190" s="2" customFormat="1" ht="18" customHeight="1" x14ac:dyDescent="0.2">
      <c r="GE2326" s="84"/>
      <c r="GF2326" s="84"/>
      <c r="GG2326" s="84"/>
      <c r="GH2326" s="84"/>
    </row>
    <row r="2327" spans="187:190" s="2" customFormat="1" ht="18" customHeight="1" x14ac:dyDescent="0.2">
      <c r="GE2327" s="84"/>
      <c r="GF2327" s="84"/>
      <c r="GG2327" s="84"/>
      <c r="GH2327" s="84"/>
    </row>
    <row r="2328" spans="187:190" s="2" customFormat="1" ht="18" customHeight="1" x14ac:dyDescent="0.2">
      <c r="GE2328" s="84"/>
      <c r="GF2328" s="84"/>
      <c r="GG2328" s="84"/>
      <c r="GH2328" s="84"/>
    </row>
    <row r="2329" spans="187:190" s="2" customFormat="1" ht="18" customHeight="1" x14ac:dyDescent="0.2">
      <c r="GE2329" s="84"/>
      <c r="GF2329" s="84"/>
      <c r="GG2329" s="84"/>
      <c r="GH2329" s="84"/>
    </row>
    <row r="2330" spans="187:190" s="2" customFormat="1" ht="18" customHeight="1" x14ac:dyDescent="0.2">
      <c r="GE2330" s="84"/>
      <c r="GF2330" s="84"/>
      <c r="GG2330" s="84"/>
      <c r="GH2330" s="84"/>
    </row>
    <row r="2331" spans="187:190" s="2" customFormat="1" ht="18" customHeight="1" x14ac:dyDescent="0.2">
      <c r="GE2331" s="84"/>
      <c r="GF2331" s="84"/>
      <c r="GG2331" s="84"/>
      <c r="GH2331" s="84"/>
    </row>
    <row r="2332" spans="187:190" s="2" customFormat="1" ht="18" customHeight="1" x14ac:dyDescent="0.2">
      <c r="GE2332" s="84"/>
      <c r="GF2332" s="84"/>
      <c r="GG2332" s="84"/>
      <c r="GH2332" s="84"/>
    </row>
    <row r="2333" spans="187:190" s="2" customFormat="1" ht="18" customHeight="1" x14ac:dyDescent="0.2">
      <c r="GE2333" s="84"/>
      <c r="GF2333" s="84"/>
      <c r="GG2333" s="84"/>
      <c r="GH2333" s="84"/>
    </row>
    <row r="2334" spans="187:190" s="2" customFormat="1" ht="18" customHeight="1" x14ac:dyDescent="0.2">
      <c r="GE2334" s="84"/>
      <c r="GF2334" s="84"/>
      <c r="GG2334" s="84"/>
      <c r="GH2334" s="84"/>
    </row>
    <row r="2335" spans="187:190" s="2" customFormat="1" ht="18" customHeight="1" x14ac:dyDescent="0.2">
      <c r="GE2335" s="84"/>
      <c r="GF2335" s="84"/>
      <c r="GG2335" s="84"/>
      <c r="GH2335" s="84"/>
    </row>
    <row r="2336" spans="187:190" s="2" customFormat="1" ht="18" customHeight="1" x14ac:dyDescent="0.2">
      <c r="GE2336" s="84"/>
      <c r="GF2336" s="84"/>
      <c r="GG2336" s="84"/>
      <c r="GH2336" s="84"/>
    </row>
    <row r="2337" spans="187:190" s="2" customFormat="1" ht="18" customHeight="1" x14ac:dyDescent="0.2">
      <c r="GE2337" s="84"/>
      <c r="GF2337" s="84"/>
      <c r="GG2337" s="84"/>
      <c r="GH2337" s="84"/>
    </row>
    <row r="2338" spans="187:190" s="2" customFormat="1" ht="18" customHeight="1" x14ac:dyDescent="0.2">
      <c r="GE2338" s="84"/>
      <c r="GF2338" s="84"/>
      <c r="GG2338" s="84"/>
      <c r="GH2338" s="84"/>
    </row>
    <row r="2339" spans="187:190" s="2" customFormat="1" ht="18" customHeight="1" x14ac:dyDescent="0.2">
      <c r="GE2339" s="84"/>
      <c r="GF2339" s="84"/>
      <c r="GG2339" s="84"/>
      <c r="GH2339" s="84"/>
    </row>
    <row r="2340" spans="187:190" s="2" customFormat="1" ht="18" customHeight="1" x14ac:dyDescent="0.2">
      <c r="GE2340" s="84"/>
      <c r="GF2340" s="84"/>
      <c r="GG2340" s="84"/>
      <c r="GH2340" s="84"/>
    </row>
    <row r="2341" spans="187:190" s="2" customFormat="1" ht="18" customHeight="1" x14ac:dyDescent="0.2">
      <c r="GE2341" s="84"/>
      <c r="GF2341" s="84"/>
      <c r="GG2341" s="84"/>
      <c r="GH2341" s="84"/>
    </row>
    <row r="2342" spans="187:190" s="2" customFormat="1" ht="18" customHeight="1" x14ac:dyDescent="0.2">
      <c r="GE2342" s="84"/>
      <c r="GF2342" s="84"/>
      <c r="GG2342" s="84"/>
      <c r="GH2342" s="84"/>
    </row>
    <row r="2343" spans="187:190" s="2" customFormat="1" ht="18" customHeight="1" x14ac:dyDescent="0.2">
      <c r="GE2343" s="84"/>
      <c r="GF2343" s="84"/>
      <c r="GG2343" s="84"/>
      <c r="GH2343" s="84"/>
    </row>
    <row r="2344" spans="187:190" s="2" customFormat="1" ht="18" customHeight="1" x14ac:dyDescent="0.2">
      <c r="GE2344" s="84"/>
      <c r="GF2344" s="84"/>
      <c r="GG2344" s="84"/>
      <c r="GH2344" s="84"/>
    </row>
    <row r="2345" spans="187:190" s="2" customFormat="1" ht="18" customHeight="1" x14ac:dyDescent="0.2">
      <c r="GE2345" s="84"/>
      <c r="GF2345" s="84"/>
      <c r="GG2345" s="84"/>
      <c r="GH2345" s="84"/>
    </row>
    <row r="2346" spans="187:190" s="2" customFormat="1" ht="18" customHeight="1" x14ac:dyDescent="0.2">
      <c r="GE2346" s="84"/>
      <c r="GF2346" s="84"/>
      <c r="GG2346" s="84"/>
      <c r="GH2346" s="84"/>
    </row>
    <row r="2347" spans="187:190" s="2" customFormat="1" ht="18" customHeight="1" x14ac:dyDescent="0.2">
      <c r="GE2347" s="84"/>
      <c r="GF2347" s="84"/>
      <c r="GG2347" s="84"/>
      <c r="GH2347" s="84"/>
    </row>
    <row r="2348" spans="187:190" s="2" customFormat="1" ht="18" customHeight="1" x14ac:dyDescent="0.2">
      <c r="GE2348" s="84"/>
      <c r="GF2348" s="84"/>
      <c r="GG2348" s="84"/>
      <c r="GH2348" s="84"/>
    </row>
    <row r="2349" spans="187:190" s="2" customFormat="1" ht="18" customHeight="1" x14ac:dyDescent="0.2">
      <c r="GE2349" s="84"/>
      <c r="GF2349" s="84"/>
      <c r="GG2349" s="84"/>
      <c r="GH2349" s="84"/>
    </row>
    <row r="2350" spans="187:190" s="2" customFormat="1" ht="18" customHeight="1" x14ac:dyDescent="0.2">
      <c r="GE2350" s="84"/>
      <c r="GF2350" s="84"/>
      <c r="GG2350" s="84"/>
      <c r="GH2350" s="84"/>
    </row>
    <row r="2351" spans="187:190" s="2" customFormat="1" ht="18" customHeight="1" x14ac:dyDescent="0.2">
      <c r="GE2351" s="84"/>
      <c r="GF2351" s="84"/>
      <c r="GG2351" s="84"/>
      <c r="GH2351" s="84"/>
    </row>
    <row r="2352" spans="187:190" s="2" customFormat="1" ht="18" customHeight="1" x14ac:dyDescent="0.2">
      <c r="GE2352" s="84"/>
      <c r="GF2352" s="84"/>
      <c r="GG2352" s="84"/>
      <c r="GH2352" s="84"/>
    </row>
    <row r="2353" spans="187:190" s="2" customFormat="1" ht="18" customHeight="1" x14ac:dyDescent="0.2">
      <c r="GE2353" s="84"/>
      <c r="GF2353" s="84"/>
      <c r="GG2353" s="84"/>
      <c r="GH2353" s="84"/>
    </row>
    <row r="2354" spans="187:190" s="2" customFormat="1" ht="18" customHeight="1" x14ac:dyDescent="0.2">
      <c r="GE2354" s="84"/>
      <c r="GF2354" s="84"/>
      <c r="GG2354" s="84"/>
      <c r="GH2354" s="84"/>
    </row>
    <row r="2355" spans="187:190" s="2" customFormat="1" ht="18" customHeight="1" x14ac:dyDescent="0.2">
      <c r="GE2355" s="84"/>
      <c r="GF2355" s="84"/>
      <c r="GG2355" s="84"/>
      <c r="GH2355" s="84"/>
    </row>
    <row r="2356" spans="187:190" s="2" customFormat="1" ht="18" customHeight="1" x14ac:dyDescent="0.2">
      <c r="GE2356" s="84"/>
      <c r="GF2356" s="84"/>
      <c r="GG2356" s="84"/>
      <c r="GH2356" s="84"/>
    </row>
    <row r="2357" spans="187:190" s="2" customFormat="1" ht="18" customHeight="1" x14ac:dyDescent="0.2">
      <c r="GE2357" s="84"/>
      <c r="GF2357" s="84"/>
      <c r="GG2357" s="84"/>
      <c r="GH2357" s="84"/>
    </row>
    <row r="2358" spans="187:190" s="2" customFormat="1" ht="18" customHeight="1" x14ac:dyDescent="0.2">
      <c r="GE2358" s="84"/>
      <c r="GF2358" s="84"/>
      <c r="GG2358" s="84"/>
      <c r="GH2358" s="84"/>
    </row>
    <row r="2359" spans="187:190" s="2" customFormat="1" ht="18" customHeight="1" x14ac:dyDescent="0.2">
      <c r="GE2359" s="84"/>
      <c r="GF2359" s="84"/>
      <c r="GG2359" s="84"/>
      <c r="GH2359" s="84"/>
    </row>
    <row r="2360" spans="187:190" s="2" customFormat="1" ht="18" customHeight="1" x14ac:dyDescent="0.2">
      <c r="GE2360" s="84"/>
      <c r="GF2360" s="84"/>
      <c r="GG2360" s="84"/>
      <c r="GH2360" s="84"/>
    </row>
    <row r="2361" spans="187:190" s="2" customFormat="1" ht="18" customHeight="1" x14ac:dyDescent="0.2">
      <c r="GE2361" s="84"/>
      <c r="GF2361" s="84"/>
      <c r="GG2361" s="84"/>
      <c r="GH2361" s="84"/>
    </row>
    <row r="2362" spans="187:190" s="2" customFormat="1" ht="18" customHeight="1" x14ac:dyDescent="0.2">
      <c r="GE2362" s="84"/>
      <c r="GF2362" s="84"/>
      <c r="GG2362" s="84"/>
      <c r="GH2362" s="84"/>
    </row>
    <row r="2363" spans="187:190" s="2" customFormat="1" ht="18" customHeight="1" x14ac:dyDescent="0.2">
      <c r="GE2363" s="84"/>
      <c r="GF2363" s="84"/>
      <c r="GG2363" s="84"/>
      <c r="GH2363" s="84"/>
    </row>
    <row r="2364" spans="187:190" s="2" customFormat="1" ht="18" customHeight="1" x14ac:dyDescent="0.2">
      <c r="GE2364" s="84"/>
      <c r="GF2364" s="84"/>
      <c r="GG2364" s="84"/>
      <c r="GH2364" s="84"/>
    </row>
    <row r="2365" spans="187:190" s="2" customFormat="1" ht="18" customHeight="1" x14ac:dyDescent="0.2">
      <c r="GE2365" s="84"/>
      <c r="GF2365" s="84"/>
      <c r="GG2365" s="84"/>
      <c r="GH2365" s="84"/>
    </row>
    <row r="2366" spans="187:190" s="2" customFormat="1" ht="18" customHeight="1" x14ac:dyDescent="0.2">
      <c r="GE2366" s="84"/>
      <c r="GF2366" s="84"/>
      <c r="GG2366" s="84"/>
      <c r="GH2366" s="84"/>
    </row>
    <row r="2367" spans="187:190" s="2" customFormat="1" ht="18" customHeight="1" x14ac:dyDescent="0.2">
      <c r="GE2367" s="84"/>
      <c r="GF2367" s="84"/>
      <c r="GG2367" s="84"/>
      <c r="GH2367" s="84"/>
    </row>
    <row r="2368" spans="187:190" s="2" customFormat="1" ht="18" customHeight="1" x14ac:dyDescent="0.2">
      <c r="GE2368" s="84"/>
      <c r="GF2368" s="84"/>
      <c r="GG2368" s="84"/>
      <c r="GH2368" s="84"/>
    </row>
    <row r="2369" spans="187:190" s="2" customFormat="1" ht="18" customHeight="1" x14ac:dyDescent="0.2">
      <c r="GE2369" s="84"/>
      <c r="GF2369" s="84"/>
      <c r="GG2369" s="84"/>
      <c r="GH2369" s="84"/>
    </row>
    <row r="2370" spans="187:190" s="2" customFormat="1" ht="18" customHeight="1" x14ac:dyDescent="0.2">
      <c r="GE2370" s="84"/>
      <c r="GF2370" s="84"/>
      <c r="GG2370" s="84"/>
      <c r="GH2370" s="84"/>
    </row>
    <row r="2371" spans="187:190" s="2" customFormat="1" ht="18" customHeight="1" x14ac:dyDescent="0.2">
      <c r="GE2371" s="84"/>
      <c r="GF2371" s="84"/>
      <c r="GG2371" s="84"/>
      <c r="GH2371" s="84"/>
    </row>
    <row r="2372" spans="187:190" s="2" customFormat="1" ht="18" customHeight="1" x14ac:dyDescent="0.2">
      <c r="GE2372" s="84"/>
      <c r="GF2372" s="84"/>
      <c r="GG2372" s="84"/>
      <c r="GH2372" s="84"/>
    </row>
    <row r="2373" spans="187:190" s="2" customFormat="1" ht="18" customHeight="1" x14ac:dyDescent="0.2">
      <c r="GE2373" s="84"/>
      <c r="GF2373" s="84"/>
      <c r="GG2373" s="84"/>
      <c r="GH2373" s="84"/>
    </row>
    <row r="2374" spans="187:190" s="2" customFormat="1" ht="18" customHeight="1" x14ac:dyDescent="0.2">
      <c r="GE2374" s="84"/>
      <c r="GF2374" s="84"/>
      <c r="GG2374" s="84"/>
      <c r="GH2374" s="84"/>
    </row>
    <row r="2375" spans="187:190" s="2" customFormat="1" ht="18" customHeight="1" x14ac:dyDescent="0.2">
      <c r="GE2375" s="84"/>
      <c r="GF2375" s="84"/>
      <c r="GG2375" s="84"/>
      <c r="GH2375" s="84"/>
    </row>
    <row r="2376" spans="187:190" s="2" customFormat="1" ht="18" customHeight="1" x14ac:dyDescent="0.2">
      <c r="GE2376" s="84"/>
      <c r="GF2376" s="84"/>
      <c r="GG2376" s="84"/>
      <c r="GH2376" s="84"/>
    </row>
    <row r="2377" spans="187:190" s="2" customFormat="1" ht="18" customHeight="1" x14ac:dyDescent="0.2">
      <c r="GE2377" s="84"/>
      <c r="GF2377" s="84"/>
      <c r="GG2377" s="84"/>
      <c r="GH2377" s="84"/>
    </row>
    <row r="2378" spans="187:190" s="2" customFormat="1" ht="18" customHeight="1" x14ac:dyDescent="0.2">
      <c r="GE2378" s="84"/>
      <c r="GF2378" s="84"/>
      <c r="GG2378" s="84"/>
      <c r="GH2378" s="84"/>
    </row>
    <row r="2379" spans="187:190" s="2" customFormat="1" ht="18" customHeight="1" x14ac:dyDescent="0.2">
      <c r="GE2379" s="84"/>
      <c r="GF2379" s="84"/>
      <c r="GG2379" s="84"/>
      <c r="GH2379" s="84"/>
    </row>
    <row r="2380" spans="187:190" s="2" customFormat="1" ht="18" customHeight="1" x14ac:dyDescent="0.2">
      <c r="GE2380" s="84"/>
      <c r="GF2380" s="84"/>
      <c r="GG2380" s="84"/>
      <c r="GH2380" s="84"/>
    </row>
    <row r="2381" spans="187:190" s="2" customFormat="1" ht="18" customHeight="1" x14ac:dyDescent="0.2">
      <c r="GE2381" s="84"/>
      <c r="GF2381" s="84"/>
      <c r="GG2381" s="84"/>
      <c r="GH2381" s="84"/>
    </row>
    <row r="2382" spans="187:190" s="2" customFormat="1" ht="18" customHeight="1" x14ac:dyDescent="0.2">
      <c r="GE2382" s="84"/>
      <c r="GF2382" s="84"/>
      <c r="GG2382" s="84"/>
      <c r="GH2382" s="84"/>
    </row>
    <row r="2383" spans="187:190" s="2" customFormat="1" ht="18" customHeight="1" x14ac:dyDescent="0.2">
      <c r="GE2383" s="84"/>
      <c r="GF2383" s="84"/>
      <c r="GG2383" s="84"/>
      <c r="GH2383" s="84"/>
    </row>
    <row r="2384" spans="187:190" s="2" customFormat="1" ht="18" customHeight="1" x14ac:dyDescent="0.2">
      <c r="GE2384" s="84"/>
      <c r="GF2384" s="84"/>
      <c r="GG2384" s="84"/>
      <c r="GH2384" s="84"/>
    </row>
    <row r="2385" spans="187:190" s="2" customFormat="1" ht="18" customHeight="1" x14ac:dyDescent="0.2">
      <c r="GE2385" s="84"/>
      <c r="GF2385" s="84"/>
      <c r="GG2385" s="84"/>
      <c r="GH2385" s="84"/>
    </row>
    <row r="2386" spans="187:190" s="2" customFormat="1" ht="18" customHeight="1" x14ac:dyDescent="0.2">
      <c r="GE2386" s="84"/>
      <c r="GF2386" s="84"/>
      <c r="GG2386" s="84"/>
      <c r="GH2386" s="84"/>
    </row>
    <row r="2387" spans="187:190" s="2" customFormat="1" ht="18" customHeight="1" x14ac:dyDescent="0.2">
      <c r="GE2387" s="84"/>
      <c r="GF2387" s="84"/>
      <c r="GG2387" s="84"/>
      <c r="GH2387" s="84"/>
    </row>
    <row r="2388" spans="187:190" s="2" customFormat="1" ht="18" customHeight="1" x14ac:dyDescent="0.2">
      <c r="GE2388" s="84"/>
      <c r="GF2388" s="84"/>
      <c r="GG2388" s="84"/>
      <c r="GH2388" s="84"/>
    </row>
    <row r="2389" spans="187:190" s="2" customFormat="1" ht="18" customHeight="1" x14ac:dyDescent="0.2">
      <c r="GE2389" s="84"/>
      <c r="GF2389" s="84"/>
      <c r="GG2389" s="84"/>
      <c r="GH2389" s="84"/>
    </row>
    <row r="2390" spans="187:190" s="2" customFormat="1" ht="18" customHeight="1" x14ac:dyDescent="0.2">
      <c r="GE2390" s="84"/>
      <c r="GF2390" s="84"/>
      <c r="GG2390" s="84"/>
      <c r="GH2390" s="84"/>
    </row>
    <row r="2391" spans="187:190" s="2" customFormat="1" ht="18" customHeight="1" x14ac:dyDescent="0.2">
      <c r="GE2391" s="84"/>
      <c r="GF2391" s="84"/>
      <c r="GG2391" s="84"/>
      <c r="GH2391" s="84"/>
    </row>
    <row r="2392" spans="187:190" s="2" customFormat="1" ht="18" customHeight="1" x14ac:dyDescent="0.2">
      <c r="GE2392" s="84"/>
      <c r="GF2392" s="84"/>
      <c r="GG2392" s="84"/>
      <c r="GH2392" s="84"/>
    </row>
    <row r="2393" spans="187:190" s="2" customFormat="1" ht="18" customHeight="1" x14ac:dyDescent="0.2">
      <c r="GE2393" s="84"/>
      <c r="GF2393" s="84"/>
      <c r="GG2393" s="84"/>
      <c r="GH2393" s="84"/>
    </row>
    <row r="2394" spans="187:190" s="2" customFormat="1" ht="18" customHeight="1" x14ac:dyDescent="0.2">
      <c r="GE2394" s="84"/>
      <c r="GF2394" s="84"/>
      <c r="GG2394" s="84"/>
      <c r="GH2394" s="84"/>
    </row>
    <row r="2395" spans="187:190" s="2" customFormat="1" ht="18" customHeight="1" x14ac:dyDescent="0.2">
      <c r="GE2395" s="84"/>
      <c r="GF2395" s="84"/>
      <c r="GG2395" s="84"/>
      <c r="GH2395" s="84"/>
    </row>
    <row r="2396" spans="187:190" s="2" customFormat="1" ht="18" customHeight="1" x14ac:dyDescent="0.2">
      <c r="GE2396" s="84"/>
      <c r="GF2396" s="84"/>
      <c r="GG2396" s="84"/>
      <c r="GH2396" s="84"/>
    </row>
    <row r="2397" spans="187:190" s="2" customFormat="1" ht="18" customHeight="1" x14ac:dyDescent="0.2">
      <c r="GE2397" s="84"/>
      <c r="GF2397" s="84"/>
      <c r="GG2397" s="84"/>
      <c r="GH2397" s="84"/>
    </row>
    <row r="2398" spans="187:190" s="2" customFormat="1" ht="18" customHeight="1" x14ac:dyDescent="0.2">
      <c r="GE2398" s="84"/>
      <c r="GF2398" s="84"/>
      <c r="GG2398" s="84"/>
      <c r="GH2398" s="84"/>
    </row>
    <row r="2399" spans="187:190" s="2" customFormat="1" ht="18" customHeight="1" x14ac:dyDescent="0.2">
      <c r="GE2399" s="84"/>
      <c r="GF2399" s="84"/>
      <c r="GG2399" s="84"/>
      <c r="GH2399" s="84"/>
    </row>
    <row r="2400" spans="187:190" s="2" customFormat="1" ht="18" customHeight="1" x14ac:dyDescent="0.2">
      <c r="GE2400" s="84"/>
      <c r="GF2400" s="84"/>
      <c r="GG2400" s="84"/>
      <c r="GH2400" s="84"/>
    </row>
    <row r="2401" spans="187:190" s="2" customFormat="1" ht="18" customHeight="1" x14ac:dyDescent="0.2">
      <c r="GE2401" s="84"/>
      <c r="GF2401" s="84"/>
      <c r="GG2401" s="84"/>
      <c r="GH2401" s="84"/>
    </row>
    <row r="2402" spans="187:190" s="2" customFormat="1" ht="18" customHeight="1" x14ac:dyDescent="0.2">
      <c r="GE2402" s="84"/>
      <c r="GF2402" s="84"/>
      <c r="GG2402" s="84"/>
      <c r="GH2402" s="84"/>
    </row>
    <row r="2403" spans="187:190" s="2" customFormat="1" ht="18" customHeight="1" x14ac:dyDescent="0.2">
      <c r="GE2403" s="84"/>
      <c r="GF2403" s="84"/>
      <c r="GG2403" s="84"/>
      <c r="GH2403" s="84"/>
    </row>
    <row r="2404" spans="187:190" s="2" customFormat="1" ht="18" customHeight="1" x14ac:dyDescent="0.2">
      <c r="GE2404" s="84"/>
      <c r="GF2404" s="84"/>
      <c r="GG2404" s="84"/>
      <c r="GH2404" s="84"/>
    </row>
    <row r="2405" spans="187:190" s="2" customFormat="1" ht="18" customHeight="1" x14ac:dyDescent="0.2">
      <c r="GE2405" s="84"/>
      <c r="GF2405" s="84"/>
      <c r="GG2405" s="84"/>
      <c r="GH2405" s="84"/>
    </row>
    <row r="2406" spans="187:190" s="2" customFormat="1" ht="18" customHeight="1" x14ac:dyDescent="0.2">
      <c r="GE2406" s="84"/>
      <c r="GF2406" s="84"/>
      <c r="GG2406" s="84"/>
      <c r="GH2406" s="84"/>
    </row>
    <row r="2407" spans="187:190" s="2" customFormat="1" ht="18" customHeight="1" x14ac:dyDescent="0.2">
      <c r="GE2407" s="84"/>
      <c r="GF2407" s="84"/>
      <c r="GG2407" s="84"/>
      <c r="GH2407" s="84"/>
    </row>
    <row r="2408" spans="187:190" s="2" customFormat="1" ht="18" customHeight="1" x14ac:dyDescent="0.2">
      <c r="GE2408" s="84"/>
      <c r="GF2408" s="84"/>
      <c r="GG2408" s="84"/>
      <c r="GH2408" s="84"/>
    </row>
    <row r="2409" spans="187:190" s="2" customFormat="1" ht="18" customHeight="1" x14ac:dyDescent="0.2">
      <c r="GE2409" s="84"/>
      <c r="GF2409" s="84"/>
      <c r="GG2409" s="84"/>
      <c r="GH2409" s="84"/>
    </row>
    <row r="2410" spans="187:190" s="2" customFormat="1" ht="18" customHeight="1" x14ac:dyDescent="0.2">
      <c r="GE2410" s="84"/>
      <c r="GF2410" s="84"/>
      <c r="GG2410" s="84"/>
      <c r="GH2410" s="84"/>
    </row>
    <row r="2411" spans="187:190" s="2" customFormat="1" ht="18" customHeight="1" x14ac:dyDescent="0.2">
      <c r="GE2411" s="84"/>
      <c r="GF2411" s="84"/>
      <c r="GG2411" s="84"/>
      <c r="GH2411" s="84"/>
    </row>
    <row r="2412" spans="187:190" s="2" customFormat="1" ht="18" customHeight="1" x14ac:dyDescent="0.2">
      <c r="GE2412" s="84"/>
      <c r="GF2412" s="84"/>
      <c r="GG2412" s="84"/>
      <c r="GH2412" s="84"/>
    </row>
    <row r="2413" spans="187:190" s="2" customFormat="1" ht="18" customHeight="1" x14ac:dyDescent="0.2">
      <c r="GE2413" s="84"/>
      <c r="GF2413" s="84"/>
      <c r="GG2413" s="84"/>
      <c r="GH2413" s="84"/>
    </row>
    <row r="2414" spans="187:190" s="2" customFormat="1" ht="18" customHeight="1" x14ac:dyDescent="0.2">
      <c r="GE2414" s="84"/>
      <c r="GF2414" s="84"/>
      <c r="GG2414" s="84"/>
      <c r="GH2414" s="84"/>
    </row>
    <row r="2415" spans="187:190" s="2" customFormat="1" ht="18" customHeight="1" x14ac:dyDescent="0.2">
      <c r="GE2415" s="84"/>
      <c r="GF2415" s="84"/>
      <c r="GG2415" s="84"/>
      <c r="GH2415" s="84"/>
    </row>
    <row r="2416" spans="187:190" s="2" customFormat="1" ht="18" customHeight="1" x14ac:dyDescent="0.2">
      <c r="GE2416" s="84"/>
      <c r="GF2416" s="84"/>
      <c r="GG2416" s="84"/>
      <c r="GH2416" s="84"/>
    </row>
    <row r="2417" spans="187:190" s="2" customFormat="1" ht="18" customHeight="1" x14ac:dyDescent="0.2">
      <c r="GE2417" s="84"/>
      <c r="GF2417" s="84"/>
      <c r="GG2417" s="84"/>
      <c r="GH2417" s="84"/>
    </row>
    <row r="2418" spans="187:190" s="2" customFormat="1" ht="18" customHeight="1" x14ac:dyDescent="0.2">
      <c r="GE2418" s="84"/>
      <c r="GF2418" s="84"/>
      <c r="GG2418" s="84"/>
      <c r="GH2418" s="84"/>
    </row>
    <row r="2419" spans="187:190" s="2" customFormat="1" ht="18" customHeight="1" x14ac:dyDescent="0.2">
      <c r="GE2419" s="84"/>
      <c r="GF2419" s="84"/>
      <c r="GG2419" s="84"/>
      <c r="GH2419" s="84"/>
    </row>
    <row r="2420" spans="187:190" s="2" customFormat="1" ht="18" customHeight="1" x14ac:dyDescent="0.2">
      <c r="GE2420" s="84"/>
      <c r="GF2420" s="84"/>
      <c r="GG2420" s="84"/>
      <c r="GH2420" s="84"/>
    </row>
    <row r="2421" spans="187:190" s="2" customFormat="1" ht="18" customHeight="1" x14ac:dyDescent="0.2">
      <c r="GE2421" s="84"/>
      <c r="GF2421" s="84"/>
      <c r="GG2421" s="84"/>
      <c r="GH2421" s="84"/>
    </row>
    <row r="2422" spans="187:190" s="2" customFormat="1" ht="18" customHeight="1" x14ac:dyDescent="0.2">
      <c r="GE2422" s="84"/>
      <c r="GF2422" s="84"/>
      <c r="GG2422" s="84"/>
      <c r="GH2422" s="84"/>
    </row>
    <row r="2423" spans="187:190" s="2" customFormat="1" ht="18" customHeight="1" x14ac:dyDescent="0.2">
      <c r="GE2423" s="84"/>
      <c r="GF2423" s="84"/>
      <c r="GG2423" s="84"/>
      <c r="GH2423" s="84"/>
    </row>
    <row r="2424" spans="187:190" s="2" customFormat="1" ht="18" customHeight="1" x14ac:dyDescent="0.2">
      <c r="GE2424" s="84"/>
      <c r="GF2424" s="84"/>
      <c r="GG2424" s="84"/>
      <c r="GH2424" s="84"/>
    </row>
    <row r="2425" spans="187:190" s="2" customFormat="1" ht="18" customHeight="1" x14ac:dyDescent="0.2">
      <c r="GE2425" s="84"/>
      <c r="GF2425" s="84"/>
      <c r="GG2425" s="84"/>
      <c r="GH2425" s="84"/>
    </row>
    <row r="2426" spans="187:190" s="2" customFormat="1" ht="18" customHeight="1" x14ac:dyDescent="0.2">
      <c r="GE2426" s="84"/>
      <c r="GF2426" s="84"/>
      <c r="GG2426" s="84"/>
      <c r="GH2426" s="84"/>
    </row>
    <row r="2427" spans="187:190" s="2" customFormat="1" ht="18" customHeight="1" x14ac:dyDescent="0.2">
      <c r="GE2427" s="84"/>
      <c r="GF2427" s="84"/>
      <c r="GG2427" s="84"/>
      <c r="GH2427" s="84"/>
    </row>
    <row r="2428" spans="187:190" s="2" customFormat="1" ht="18" customHeight="1" x14ac:dyDescent="0.2">
      <c r="GE2428" s="84"/>
      <c r="GF2428" s="84"/>
      <c r="GG2428" s="84"/>
      <c r="GH2428" s="84"/>
    </row>
    <row r="2429" spans="187:190" s="2" customFormat="1" ht="18" customHeight="1" x14ac:dyDescent="0.2">
      <c r="GE2429" s="84"/>
      <c r="GF2429" s="84"/>
      <c r="GG2429" s="84"/>
      <c r="GH2429" s="84"/>
    </row>
    <row r="2430" spans="187:190" s="2" customFormat="1" ht="18" customHeight="1" x14ac:dyDescent="0.2">
      <c r="GE2430" s="84"/>
      <c r="GF2430" s="84"/>
      <c r="GG2430" s="84"/>
      <c r="GH2430" s="84"/>
    </row>
    <row r="2431" spans="187:190" s="2" customFormat="1" ht="18" customHeight="1" x14ac:dyDescent="0.2">
      <c r="GE2431" s="84"/>
      <c r="GF2431" s="84"/>
      <c r="GG2431" s="84"/>
      <c r="GH2431" s="84"/>
    </row>
    <row r="2432" spans="187:190" s="2" customFormat="1" ht="18" customHeight="1" x14ac:dyDescent="0.2">
      <c r="GE2432" s="84"/>
      <c r="GF2432" s="84"/>
      <c r="GG2432" s="84"/>
      <c r="GH2432" s="84"/>
    </row>
    <row r="2433" spans="187:190" s="2" customFormat="1" ht="18" customHeight="1" x14ac:dyDescent="0.2">
      <c r="GE2433" s="84"/>
      <c r="GF2433" s="84"/>
      <c r="GG2433" s="84"/>
      <c r="GH2433" s="84"/>
    </row>
    <row r="2434" spans="187:190" s="2" customFormat="1" ht="18" customHeight="1" x14ac:dyDescent="0.2">
      <c r="GE2434" s="84"/>
      <c r="GF2434" s="84"/>
      <c r="GG2434" s="84"/>
      <c r="GH2434" s="84"/>
    </row>
    <row r="2435" spans="187:190" s="2" customFormat="1" ht="18" customHeight="1" x14ac:dyDescent="0.2">
      <c r="GE2435" s="84"/>
      <c r="GF2435" s="84"/>
      <c r="GG2435" s="84"/>
      <c r="GH2435" s="84"/>
    </row>
    <row r="2436" spans="187:190" s="2" customFormat="1" ht="18" customHeight="1" x14ac:dyDescent="0.2">
      <c r="GE2436" s="84"/>
      <c r="GF2436" s="84"/>
      <c r="GG2436" s="84"/>
      <c r="GH2436" s="84"/>
    </row>
    <row r="2437" spans="187:190" s="2" customFormat="1" ht="18" customHeight="1" x14ac:dyDescent="0.2">
      <c r="GE2437" s="84"/>
      <c r="GF2437" s="84"/>
      <c r="GG2437" s="84"/>
      <c r="GH2437" s="84"/>
    </row>
    <row r="2438" spans="187:190" s="2" customFormat="1" ht="18" customHeight="1" x14ac:dyDescent="0.2">
      <c r="GE2438" s="84"/>
      <c r="GF2438" s="84"/>
      <c r="GG2438" s="84"/>
      <c r="GH2438" s="84"/>
    </row>
    <row r="2439" spans="187:190" s="2" customFormat="1" ht="18" customHeight="1" x14ac:dyDescent="0.2">
      <c r="GE2439" s="84"/>
      <c r="GF2439" s="84"/>
      <c r="GG2439" s="84"/>
      <c r="GH2439" s="84"/>
    </row>
    <row r="2440" spans="187:190" s="2" customFormat="1" ht="18" customHeight="1" x14ac:dyDescent="0.2">
      <c r="GE2440" s="84"/>
      <c r="GF2440" s="84"/>
      <c r="GG2440" s="84"/>
      <c r="GH2440" s="84"/>
    </row>
    <row r="2441" spans="187:190" s="2" customFormat="1" ht="18" customHeight="1" x14ac:dyDescent="0.2">
      <c r="GE2441" s="84"/>
      <c r="GF2441" s="84"/>
      <c r="GG2441" s="84"/>
      <c r="GH2441" s="84"/>
    </row>
    <row r="2442" spans="187:190" s="2" customFormat="1" ht="18" customHeight="1" x14ac:dyDescent="0.2">
      <c r="GE2442" s="84"/>
      <c r="GF2442" s="84"/>
      <c r="GG2442" s="84"/>
      <c r="GH2442" s="84"/>
    </row>
    <row r="2443" spans="187:190" s="2" customFormat="1" ht="18" customHeight="1" x14ac:dyDescent="0.2">
      <c r="GE2443" s="84"/>
      <c r="GF2443" s="84"/>
      <c r="GG2443" s="84"/>
      <c r="GH2443" s="84"/>
    </row>
    <row r="2444" spans="187:190" s="2" customFormat="1" ht="18" customHeight="1" x14ac:dyDescent="0.2">
      <c r="GE2444" s="84"/>
      <c r="GF2444" s="84"/>
      <c r="GG2444" s="84"/>
      <c r="GH2444" s="84"/>
    </row>
    <row r="2445" spans="187:190" s="2" customFormat="1" ht="18" customHeight="1" x14ac:dyDescent="0.2">
      <c r="GE2445" s="84"/>
      <c r="GF2445" s="84"/>
      <c r="GG2445" s="84"/>
      <c r="GH2445" s="84"/>
    </row>
    <row r="2446" spans="187:190" s="2" customFormat="1" ht="18" customHeight="1" x14ac:dyDescent="0.2">
      <c r="GE2446" s="84"/>
      <c r="GF2446" s="84"/>
      <c r="GG2446" s="84"/>
      <c r="GH2446" s="84"/>
    </row>
    <row r="2447" spans="187:190" s="2" customFormat="1" ht="18" customHeight="1" x14ac:dyDescent="0.2">
      <c r="GE2447" s="84"/>
      <c r="GF2447" s="84"/>
      <c r="GG2447" s="84"/>
      <c r="GH2447" s="84"/>
    </row>
    <row r="2448" spans="187:190" s="2" customFormat="1" ht="18" customHeight="1" x14ac:dyDescent="0.2">
      <c r="GE2448" s="84"/>
      <c r="GF2448" s="84"/>
      <c r="GG2448" s="84"/>
      <c r="GH2448" s="84"/>
    </row>
    <row r="2449" spans="187:190" s="2" customFormat="1" ht="18" customHeight="1" x14ac:dyDescent="0.2">
      <c r="GE2449" s="84"/>
      <c r="GF2449" s="84"/>
      <c r="GG2449" s="84"/>
      <c r="GH2449" s="84"/>
    </row>
    <row r="2450" spans="187:190" s="2" customFormat="1" ht="18" customHeight="1" x14ac:dyDescent="0.2">
      <c r="GE2450" s="84"/>
      <c r="GF2450" s="84"/>
      <c r="GG2450" s="84"/>
      <c r="GH2450" s="84"/>
    </row>
    <row r="2451" spans="187:190" s="2" customFormat="1" ht="18" customHeight="1" x14ac:dyDescent="0.2">
      <c r="GE2451" s="84"/>
      <c r="GF2451" s="84"/>
      <c r="GG2451" s="84"/>
      <c r="GH2451" s="84"/>
    </row>
    <row r="2452" spans="187:190" s="2" customFormat="1" ht="18" customHeight="1" x14ac:dyDescent="0.2">
      <c r="GE2452" s="84"/>
      <c r="GF2452" s="84"/>
      <c r="GG2452" s="84"/>
      <c r="GH2452" s="84"/>
    </row>
    <row r="2453" spans="187:190" s="2" customFormat="1" ht="18" customHeight="1" x14ac:dyDescent="0.2">
      <c r="GE2453" s="84"/>
      <c r="GF2453" s="84"/>
      <c r="GG2453" s="84"/>
      <c r="GH2453" s="84"/>
    </row>
    <row r="2454" spans="187:190" s="2" customFormat="1" ht="18" customHeight="1" x14ac:dyDescent="0.2">
      <c r="GE2454" s="84"/>
      <c r="GF2454" s="84"/>
      <c r="GG2454" s="84"/>
      <c r="GH2454" s="84"/>
    </row>
    <row r="2455" spans="187:190" s="2" customFormat="1" ht="18" customHeight="1" x14ac:dyDescent="0.2">
      <c r="GE2455" s="84"/>
      <c r="GF2455" s="84"/>
      <c r="GG2455" s="84"/>
      <c r="GH2455" s="84"/>
    </row>
    <row r="2456" spans="187:190" s="2" customFormat="1" ht="18" customHeight="1" x14ac:dyDescent="0.2">
      <c r="GE2456" s="84"/>
      <c r="GF2456" s="84"/>
      <c r="GG2456" s="84"/>
      <c r="GH2456" s="84"/>
    </row>
    <row r="2457" spans="187:190" s="2" customFormat="1" ht="18" customHeight="1" x14ac:dyDescent="0.2">
      <c r="GE2457" s="84"/>
      <c r="GF2457" s="84"/>
      <c r="GG2457" s="84"/>
      <c r="GH2457" s="84"/>
    </row>
    <row r="2458" spans="187:190" s="2" customFormat="1" ht="18" customHeight="1" x14ac:dyDescent="0.2">
      <c r="GE2458" s="84"/>
      <c r="GF2458" s="84"/>
      <c r="GG2458" s="84"/>
      <c r="GH2458" s="84"/>
    </row>
    <row r="2459" spans="187:190" s="2" customFormat="1" ht="18" customHeight="1" x14ac:dyDescent="0.2">
      <c r="GE2459" s="84"/>
      <c r="GF2459" s="84"/>
      <c r="GG2459" s="84"/>
      <c r="GH2459" s="84"/>
    </row>
    <row r="2460" spans="187:190" s="2" customFormat="1" ht="18" customHeight="1" x14ac:dyDescent="0.2">
      <c r="GE2460" s="84"/>
      <c r="GF2460" s="84"/>
      <c r="GG2460" s="84"/>
      <c r="GH2460" s="84"/>
    </row>
    <row r="2461" spans="187:190" s="2" customFormat="1" ht="18" customHeight="1" x14ac:dyDescent="0.2">
      <c r="GE2461" s="84"/>
      <c r="GF2461" s="84"/>
      <c r="GG2461" s="84"/>
      <c r="GH2461" s="84"/>
    </row>
    <row r="2462" spans="187:190" s="2" customFormat="1" ht="18" customHeight="1" x14ac:dyDescent="0.2">
      <c r="GE2462" s="84"/>
      <c r="GF2462" s="84"/>
      <c r="GG2462" s="84"/>
      <c r="GH2462" s="84"/>
    </row>
    <row r="2463" spans="187:190" s="2" customFormat="1" ht="18" customHeight="1" x14ac:dyDescent="0.2">
      <c r="GE2463" s="84"/>
      <c r="GF2463" s="84"/>
      <c r="GG2463" s="84"/>
      <c r="GH2463" s="84"/>
    </row>
    <row r="2464" spans="187:190" s="2" customFormat="1" ht="18" customHeight="1" x14ac:dyDescent="0.2">
      <c r="GE2464" s="84"/>
      <c r="GF2464" s="84"/>
      <c r="GG2464" s="84"/>
      <c r="GH2464" s="84"/>
    </row>
    <row r="2465" spans="187:190" s="2" customFormat="1" ht="18" customHeight="1" x14ac:dyDescent="0.2">
      <c r="GE2465" s="84"/>
      <c r="GF2465" s="84"/>
      <c r="GG2465" s="84"/>
      <c r="GH2465" s="84"/>
    </row>
    <row r="2466" spans="187:190" s="2" customFormat="1" ht="18" customHeight="1" x14ac:dyDescent="0.2">
      <c r="GE2466" s="84"/>
      <c r="GF2466" s="84"/>
      <c r="GG2466" s="84"/>
      <c r="GH2466" s="84"/>
    </row>
    <row r="2467" spans="187:190" s="2" customFormat="1" ht="18" customHeight="1" x14ac:dyDescent="0.2">
      <c r="GE2467" s="84"/>
      <c r="GF2467" s="84"/>
      <c r="GG2467" s="84"/>
      <c r="GH2467" s="84"/>
    </row>
    <row r="2468" spans="187:190" s="2" customFormat="1" ht="18" customHeight="1" x14ac:dyDescent="0.2">
      <c r="GE2468" s="84"/>
      <c r="GF2468" s="84"/>
      <c r="GG2468" s="84"/>
      <c r="GH2468" s="84"/>
    </row>
    <row r="2469" spans="187:190" s="2" customFormat="1" ht="18" customHeight="1" x14ac:dyDescent="0.2">
      <c r="GE2469" s="84"/>
      <c r="GF2469" s="84"/>
      <c r="GG2469" s="84"/>
      <c r="GH2469" s="84"/>
    </row>
    <row r="2470" spans="187:190" s="2" customFormat="1" ht="18" customHeight="1" x14ac:dyDescent="0.2">
      <c r="GE2470" s="84"/>
      <c r="GF2470" s="84"/>
      <c r="GG2470" s="84"/>
      <c r="GH2470" s="84"/>
    </row>
    <row r="2471" spans="187:190" s="2" customFormat="1" ht="18" customHeight="1" x14ac:dyDescent="0.2">
      <c r="GE2471" s="84"/>
      <c r="GF2471" s="84"/>
      <c r="GG2471" s="84"/>
      <c r="GH2471" s="84"/>
    </row>
    <row r="2472" spans="187:190" s="2" customFormat="1" ht="18" customHeight="1" x14ac:dyDescent="0.2">
      <c r="GE2472" s="84"/>
      <c r="GF2472" s="84"/>
      <c r="GG2472" s="84"/>
      <c r="GH2472" s="84"/>
    </row>
    <row r="2473" spans="187:190" s="2" customFormat="1" ht="18" customHeight="1" x14ac:dyDescent="0.2">
      <c r="GE2473" s="84"/>
      <c r="GF2473" s="84"/>
      <c r="GG2473" s="84"/>
      <c r="GH2473" s="84"/>
    </row>
    <row r="2474" spans="187:190" s="2" customFormat="1" ht="18" customHeight="1" x14ac:dyDescent="0.2">
      <c r="GE2474" s="84"/>
      <c r="GF2474" s="84"/>
      <c r="GG2474" s="84"/>
      <c r="GH2474" s="84"/>
    </row>
    <row r="2475" spans="187:190" s="2" customFormat="1" ht="18" customHeight="1" x14ac:dyDescent="0.2">
      <c r="GE2475" s="84"/>
      <c r="GF2475" s="84"/>
      <c r="GG2475" s="84"/>
      <c r="GH2475" s="84"/>
    </row>
    <row r="2476" spans="187:190" s="2" customFormat="1" ht="18" customHeight="1" x14ac:dyDescent="0.2">
      <c r="GE2476" s="84"/>
      <c r="GF2476" s="84"/>
      <c r="GG2476" s="84"/>
      <c r="GH2476" s="84"/>
    </row>
    <row r="2477" spans="187:190" s="2" customFormat="1" ht="18" customHeight="1" x14ac:dyDescent="0.2">
      <c r="GE2477" s="84"/>
      <c r="GF2477" s="84"/>
      <c r="GG2477" s="84"/>
      <c r="GH2477" s="84"/>
    </row>
    <row r="2478" spans="187:190" s="2" customFormat="1" ht="18" customHeight="1" x14ac:dyDescent="0.2">
      <c r="GE2478" s="84"/>
      <c r="GF2478" s="84"/>
      <c r="GG2478" s="84"/>
      <c r="GH2478" s="84"/>
    </row>
    <row r="2479" spans="187:190" s="2" customFormat="1" ht="18" customHeight="1" x14ac:dyDescent="0.2">
      <c r="GE2479" s="84"/>
      <c r="GF2479" s="84"/>
      <c r="GG2479" s="84"/>
      <c r="GH2479" s="84"/>
    </row>
    <row r="2480" spans="187:190" s="2" customFormat="1" ht="18" customHeight="1" x14ac:dyDescent="0.2">
      <c r="GE2480" s="84"/>
      <c r="GF2480" s="84"/>
      <c r="GG2480" s="84"/>
      <c r="GH2480" s="84"/>
    </row>
    <row r="2481" spans="187:190" s="2" customFormat="1" ht="18" customHeight="1" x14ac:dyDescent="0.2">
      <c r="GE2481" s="84"/>
      <c r="GF2481" s="84"/>
      <c r="GG2481" s="84"/>
      <c r="GH2481" s="84"/>
    </row>
    <row r="2482" spans="187:190" s="2" customFormat="1" ht="18" customHeight="1" x14ac:dyDescent="0.2">
      <c r="GE2482" s="84"/>
      <c r="GF2482" s="84"/>
      <c r="GG2482" s="84"/>
      <c r="GH2482" s="84"/>
    </row>
    <row r="2483" spans="187:190" s="2" customFormat="1" ht="18" customHeight="1" x14ac:dyDescent="0.2">
      <c r="GE2483" s="84"/>
      <c r="GF2483" s="84"/>
      <c r="GG2483" s="84"/>
      <c r="GH2483" s="84"/>
    </row>
    <row r="2484" spans="187:190" s="2" customFormat="1" ht="18" customHeight="1" x14ac:dyDescent="0.2">
      <c r="GE2484" s="84"/>
      <c r="GF2484" s="84"/>
      <c r="GG2484" s="84"/>
      <c r="GH2484" s="84"/>
    </row>
    <row r="2485" spans="187:190" s="2" customFormat="1" ht="18" customHeight="1" x14ac:dyDescent="0.2">
      <c r="GE2485" s="84"/>
      <c r="GF2485" s="84"/>
      <c r="GG2485" s="84"/>
      <c r="GH2485" s="84"/>
    </row>
    <row r="2486" spans="187:190" s="2" customFormat="1" ht="18" customHeight="1" x14ac:dyDescent="0.2">
      <c r="GE2486" s="84"/>
      <c r="GF2486" s="84"/>
      <c r="GG2486" s="84"/>
      <c r="GH2486" s="84"/>
    </row>
    <row r="2487" spans="187:190" s="2" customFormat="1" ht="18" customHeight="1" x14ac:dyDescent="0.2">
      <c r="GE2487" s="84"/>
      <c r="GF2487" s="84"/>
      <c r="GG2487" s="84"/>
      <c r="GH2487" s="84"/>
    </row>
    <row r="2488" spans="187:190" s="2" customFormat="1" ht="18" customHeight="1" x14ac:dyDescent="0.2">
      <c r="GE2488" s="84"/>
      <c r="GF2488" s="84"/>
      <c r="GG2488" s="84"/>
      <c r="GH2488" s="84"/>
    </row>
    <row r="2489" spans="187:190" s="2" customFormat="1" ht="18" customHeight="1" x14ac:dyDescent="0.2">
      <c r="GE2489" s="84"/>
      <c r="GF2489" s="84"/>
      <c r="GG2489" s="84"/>
      <c r="GH2489" s="84"/>
    </row>
    <row r="2490" spans="187:190" s="2" customFormat="1" ht="18" customHeight="1" x14ac:dyDescent="0.2">
      <c r="GE2490" s="84"/>
      <c r="GF2490" s="84"/>
      <c r="GG2490" s="84"/>
      <c r="GH2490" s="84"/>
    </row>
    <row r="2491" spans="187:190" s="2" customFormat="1" ht="18" customHeight="1" x14ac:dyDescent="0.2">
      <c r="GE2491" s="84"/>
      <c r="GF2491" s="84"/>
      <c r="GG2491" s="84"/>
      <c r="GH2491" s="84"/>
    </row>
    <row r="2492" spans="187:190" s="2" customFormat="1" ht="18" customHeight="1" x14ac:dyDescent="0.2">
      <c r="GE2492" s="84"/>
      <c r="GF2492" s="84"/>
      <c r="GG2492" s="84"/>
      <c r="GH2492" s="84"/>
    </row>
    <row r="2493" spans="187:190" s="2" customFormat="1" ht="18" customHeight="1" x14ac:dyDescent="0.2">
      <c r="GE2493" s="84"/>
      <c r="GF2493" s="84"/>
      <c r="GG2493" s="84"/>
      <c r="GH2493" s="84"/>
    </row>
    <row r="2494" spans="187:190" s="2" customFormat="1" ht="18" customHeight="1" x14ac:dyDescent="0.2">
      <c r="GE2494" s="84"/>
      <c r="GF2494" s="84"/>
      <c r="GG2494" s="84"/>
      <c r="GH2494" s="84"/>
    </row>
    <row r="2495" spans="187:190" s="2" customFormat="1" ht="18" customHeight="1" x14ac:dyDescent="0.2">
      <c r="GE2495" s="84"/>
      <c r="GF2495" s="84"/>
      <c r="GG2495" s="84"/>
      <c r="GH2495" s="84"/>
    </row>
    <row r="2496" spans="187:190" s="2" customFormat="1" ht="18" customHeight="1" x14ac:dyDescent="0.2">
      <c r="GE2496" s="84"/>
      <c r="GF2496" s="84"/>
      <c r="GG2496" s="84"/>
      <c r="GH2496" s="84"/>
    </row>
    <row r="2497" spans="187:190" s="2" customFormat="1" ht="18" customHeight="1" x14ac:dyDescent="0.2">
      <c r="GE2497" s="84"/>
      <c r="GF2497" s="84"/>
      <c r="GG2497" s="84"/>
      <c r="GH2497" s="84"/>
    </row>
    <row r="2498" spans="187:190" s="2" customFormat="1" ht="18" customHeight="1" x14ac:dyDescent="0.2">
      <c r="GE2498" s="84"/>
      <c r="GF2498" s="84"/>
      <c r="GG2498" s="84"/>
      <c r="GH2498" s="84"/>
    </row>
    <row r="2499" spans="187:190" s="2" customFormat="1" ht="18" customHeight="1" x14ac:dyDescent="0.2">
      <c r="GE2499" s="84"/>
      <c r="GF2499" s="84"/>
      <c r="GG2499" s="84"/>
      <c r="GH2499" s="84"/>
    </row>
    <row r="2500" spans="187:190" s="2" customFormat="1" ht="18" customHeight="1" x14ac:dyDescent="0.2">
      <c r="GE2500" s="84"/>
      <c r="GF2500" s="84"/>
      <c r="GG2500" s="84"/>
      <c r="GH2500" s="84"/>
    </row>
    <row r="2501" spans="187:190" s="2" customFormat="1" ht="18" customHeight="1" x14ac:dyDescent="0.2">
      <c r="GE2501" s="84"/>
      <c r="GF2501" s="84"/>
      <c r="GG2501" s="84"/>
      <c r="GH2501" s="84"/>
    </row>
    <row r="2502" spans="187:190" s="2" customFormat="1" ht="18" customHeight="1" x14ac:dyDescent="0.2">
      <c r="GE2502" s="84"/>
      <c r="GF2502" s="84"/>
      <c r="GG2502" s="84"/>
      <c r="GH2502" s="84"/>
    </row>
    <row r="2503" spans="187:190" s="2" customFormat="1" ht="18" customHeight="1" x14ac:dyDescent="0.2">
      <c r="GE2503" s="84"/>
      <c r="GF2503" s="84"/>
      <c r="GG2503" s="84"/>
      <c r="GH2503" s="84"/>
    </row>
    <row r="2504" spans="187:190" s="2" customFormat="1" ht="18" customHeight="1" x14ac:dyDescent="0.2">
      <c r="GE2504" s="84"/>
      <c r="GF2504" s="84"/>
      <c r="GG2504" s="84"/>
      <c r="GH2504" s="84"/>
    </row>
    <row r="2505" spans="187:190" s="2" customFormat="1" ht="18" customHeight="1" x14ac:dyDescent="0.2">
      <c r="GE2505" s="84"/>
      <c r="GF2505" s="84"/>
      <c r="GG2505" s="84"/>
      <c r="GH2505" s="84"/>
    </row>
    <row r="2506" spans="187:190" s="2" customFormat="1" ht="18" customHeight="1" x14ac:dyDescent="0.2">
      <c r="GE2506" s="84"/>
      <c r="GF2506" s="84"/>
      <c r="GG2506" s="84"/>
      <c r="GH2506" s="84"/>
    </row>
    <row r="2507" spans="187:190" s="2" customFormat="1" ht="18" customHeight="1" x14ac:dyDescent="0.2">
      <c r="GE2507" s="84"/>
      <c r="GF2507" s="84"/>
      <c r="GG2507" s="84"/>
      <c r="GH2507" s="84"/>
    </row>
    <row r="2508" spans="187:190" s="2" customFormat="1" ht="18" customHeight="1" x14ac:dyDescent="0.2">
      <c r="GE2508" s="84"/>
      <c r="GF2508" s="84"/>
      <c r="GG2508" s="84"/>
      <c r="GH2508" s="84"/>
    </row>
    <row r="2509" spans="187:190" s="2" customFormat="1" ht="18" customHeight="1" x14ac:dyDescent="0.2">
      <c r="GE2509" s="84"/>
      <c r="GF2509" s="84"/>
      <c r="GG2509" s="84"/>
      <c r="GH2509" s="84"/>
    </row>
    <row r="2510" spans="187:190" s="2" customFormat="1" ht="18" customHeight="1" x14ac:dyDescent="0.2">
      <c r="GE2510" s="84"/>
      <c r="GF2510" s="84"/>
      <c r="GG2510" s="84"/>
      <c r="GH2510" s="84"/>
    </row>
    <row r="2511" spans="187:190" s="2" customFormat="1" ht="18" customHeight="1" x14ac:dyDescent="0.2">
      <c r="GE2511" s="84"/>
      <c r="GF2511" s="84"/>
      <c r="GG2511" s="84"/>
      <c r="GH2511" s="84"/>
    </row>
    <row r="2512" spans="187:190" s="2" customFormat="1" ht="18" customHeight="1" x14ac:dyDescent="0.2">
      <c r="GE2512" s="84"/>
      <c r="GF2512" s="84"/>
      <c r="GG2512" s="84"/>
      <c r="GH2512" s="84"/>
    </row>
    <row r="2513" spans="187:190" s="2" customFormat="1" ht="18" customHeight="1" x14ac:dyDescent="0.2">
      <c r="GE2513" s="84"/>
      <c r="GF2513" s="84"/>
      <c r="GG2513" s="84"/>
      <c r="GH2513" s="84"/>
    </row>
    <row r="2514" spans="187:190" s="2" customFormat="1" ht="18" customHeight="1" x14ac:dyDescent="0.2">
      <c r="GE2514" s="84"/>
      <c r="GF2514" s="84"/>
      <c r="GG2514" s="84"/>
      <c r="GH2514" s="84"/>
    </row>
    <row r="2515" spans="187:190" s="2" customFormat="1" ht="18" customHeight="1" x14ac:dyDescent="0.2">
      <c r="GE2515" s="84"/>
      <c r="GF2515" s="84"/>
      <c r="GG2515" s="84"/>
      <c r="GH2515" s="84"/>
    </row>
    <row r="2516" spans="187:190" s="2" customFormat="1" ht="18" customHeight="1" x14ac:dyDescent="0.2">
      <c r="GE2516" s="84"/>
      <c r="GF2516" s="84"/>
      <c r="GG2516" s="84"/>
      <c r="GH2516" s="84"/>
    </row>
    <row r="2517" spans="187:190" s="2" customFormat="1" ht="18" customHeight="1" x14ac:dyDescent="0.2">
      <c r="GE2517" s="84"/>
      <c r="GF2517" s="84"/>
      <c r="GG2517" s="84"/>
      <c r="GH2517" s="84"/>
    </row>
    <row r="2518" spans="187:190" s="2" customFormat="1" ht="18" customHeight="1" x14ac:dyDescent="0.2">
      <c r="GE2518" s="84"/>
      <c r="GF2518" s="84"/>
      <c r="GG2518" s="84"/>
      <c r="GH2518" s="84"/>
    </row>
    <row r="2519" spans="187:190" s="2" customFormat="1" ht="18" customHeight="1" x14ac:dyDescent="0.2">
      <c r="GE2519" s="84"/>
      <c r="GF2519" s="84"/>
      <c r="GG2519" s="84"/>
      <c r="GH2519" s="84"/>
    </row>
    <row r="2520" spans="187:190" s="2" customFormat="1" ht="18" customHeight="1" x14ac:dyDescent="0.2">
      <c r="GE2520" s="84"/>
      <c r="GF2520" s="84"/>
      <c r="GG2520" s="84"/>
      <c r="GH2520" s="84"/>
    </row>
    <row r="2521" spans="187:190" s="2" customFormat="1" ht="18" customHeight="1" x14ac:dyDescent="0.2">
      <c r="GE2521" s="84"/>
      <c r="GF2521" s="84"/>
      <c r="GG2521" s="84"/>
      <c r="GH2521" s="84"/>
    </row>
    <row r="2522" spans="187:190" s="2" customFormat="1" ht="18" customHeight="1" x14ac:dyDescent="0.2">
      <c r="GE2522" s="84"/>
      <c r="GF2522" s="84"/>
      <c r="GG2522" s="84"/>
      <c r="GH2522" s="84"/>
    </row>
    <row r="2523" spans="187:190" s="2" customFormat="1" ht="18" customHeight="1" x14ac:dyDescent="0.2">
      <c r="GE2523" s="84"/>
      <c r="GF2523" s="84"/>
      <c r="GG2523" s="84"/>
      <c r="GH2523" s="84"/>
    </row>
    <row r="2524" spans="187:190" s="2" customFormat="1" ht="18" customHeight="1" x14ac:dyDescent="0.2">
      <c r="GE2524" s="84"/>
      <c r="GF2524" s="84"/>
      <c r="GG2524" s="84"/>
      <c r="GH2524" s="84"/>
    </row>
    <row r="2525" spans="187:190" s="2" customFormat="1" ht="18" customHeight="1" x14ac:dyDescent="0.2">
      <c r="GE2525" s="84"/>
      <c r="GF2525" s="84"/>
      <c r="GG2525" s="84"/>
      <c r="GH2525" s="84"/>
    </row>
    <row r="2526" spans="187:190" s="2" customFormat="1" ht="18" customHeight="1" x14ac:dyDescent="0.2">
      <c r="GE2526" s="84"/>
      <c r="GF2526" s="84"/>
      <c r="GG2526" s="84"/>
      <c r="GH2526" s="84"/>
    </row>
    <row r="2527" spans="187:190" s="2" customFormat="1" ht="18" customHeight="1" x14ac:dyDescent="0.2">
      <c r="GE2527" s="84"/>
      <c r="GF2527" s="84"/>
      <c r="GG2527" s="84"/>
      <c r="GH2527" s="84"/>
    </row>
    <row r="2528" spans="187:190" s="2" customFormat="1" ht="18" customHeight="1" x14ac:dyDescent="0.2">
      <c r="GE2528" s="84"/>
      <c r="GF2528" s="84"/>
      <c r="GG2528" s="84"/>
      <c r="GH2528" s="84"/>
    </row>
    <row r="2529" spans="187:190" s="2" customFormat="1" ht="18" customHeight="1" x14ac:dyDescent="0.2">
      <c r="GE2529" s="84"/>
      <c r="GF2529" s="84"/>
      <c r="GG2529" s="84"/>
      <c r="GH2529" s="84"/>
    </row>
    <row r="2530" spans="187:190" s="2" customFormat="1" ht="18" customHeight="1" x14ac:dyDescent="0.2">
      <c r="GE2530" s="84"/>
      <c r="GF2530" s="84"/>
      <c r="GG2530" s="84"/>
      <c r="GH2530" s="84"/>
    </row>
    <row r="2531" spans="187:190" s="2" customFormat="1" ht="18" customHeight="1" x14ac:dyDescent="0.2">
      <c r="GE2531" s="84"/>
      <c r="GF2531" s="84"/>
      <c r="GG2531" s="84"/>
      <c r="GH2531" s="84"/>
    </row>
    <row r="2532" spans="187:190" s="2" customFormat="1" ht="18" customHeight="1" x14ac:dyDescent="0.2">
      <c r="GE2532" s="84"/>
      <c r="GF2532" s="84"/>
      <c r="GG2532" s="84"/>
      <c r="GH2532" s="84"/>
    </row>
    <row r="2533" spans="187:190" s="2" customFormat="1" ht="18" customHeight="1" x14ac:dyDescent="0.2">
      <c r="GE2533" s="84"/>
      <c r="GF2533" s="84"/>
      <c r="GG2533" s="84"/>
      <c r="GH2533" s="84"/>
    </row>
    <row r="2534" spans="187:190" s="2" customFormat="1" ht="18" customHeight="1" x14ac:dyDescent="0.2">
      <c r="GE2534" s="84"/>
      <c r="GF2534" s="84"/>
      <c r="GG2534" s="84"/>
      <c r="GH2534" s="84"/>
    </row>
    <row r="2535" spans="187:190" s="2" customFormat="1" ht="18" customHeight="1" x14ac:dyDescent="0.2">
      <c r="GE2535" s="84"/>
      <c r="GF2535" s="84"/>
      <c r="GG2535" s="84"/>
      <c r="GH2535" s="84"/>
    </row>
    <row r="2536" spans="187:190" s="2" customFormat="1" ht="18" customHeight="1" x14ac:dyDescent="0.2">
      <c r="GE2536" s="84"/>
      <c r="GF2536" s="84"/>
      <c r="GG2536" s="84"/>
      <c r="GH2536" s="84"/>
    </row>
    <row r="2537" spans="187:190" s="2" customFormat="1" ht="18" customHeight="1" x14ac:dyDescent="0.2">
      <c r="GE2537" s="84"/>
      <c r="GF2537" s="84"/>
      <c r="GG2537" s="84"/>
      <c r="GH2537" s="84"/>
    </row>
    <row r="2538" spans="187:190" s="2" customFormat="1" ht="18" customHeight="1" x14ac:dyDescent="0.2">
      <c r="GE2538" s="84"/>
      <c r="GF2538" s="84"/>
      <c r="GG2538" s="84"/>
      <c r="GH2538" s="84"/>
    </row>
    <row r="2539" spans="187:190" s="2" customFormat="1" ht="18" customHeight="1" x14ac:dyDescent="0.2">
      <c r="GE2539" s="84"/>
      <c r="GF2539" s="84"/>
      <c r="GG2539" s="84"/>
      <c r="GH2539" s="84"/>
    </row>
    <row r="2540" spans="187:190" s="2" customFormat="1" ht="18" customHeight="1" x14ac:dyDescent="0.2">
      <c r="GE2540" s="84"/>
      <c r="GF2540" s="84"/>
      <c r="GG2540" s="84"/>
      <c r="GH2540" s="84"/>
    </row>
    <row r="2541" spans="187:190" s="2" customFormat="1" ht="18" customHeight="1" x14ac:dyDescent="0.2">
      <c r="GE2541" s="84"/>
      <c r="GF2541" s="84"/>
      <c r="GG2541" s="84"/>
      <c r="GH2541" s="84"/>
    </row>
    <row r="2542" spans="187:190" s="2" customFormat="1" ht="18" customHeight="1" x14ac:dyDescent="0.2">
      <c r="GE2542" s="84"/>
      <c r="GF2542" s="84"/>
      <c r="GG2542" s="84"/>
      <c r="GH2542" s="84"/>
    </row>
    <row r="2543" spans="187:190" s="2" customFormat="1" ht="18" customHeight="1" x14ac:dyDescent="0.2">
      <c r="GE2543" s="84"/>
      <c r="GF2543" s="84"/>
      <c r="GG2543" s="84"/>
      <c r="GH2543" s="84"/>
    </row>
    <row r="2544" spans="187:190" s="2" customFormat="1" ht="18" customHeight="1" x14ac:dyDescent="0.2">
      <c r="GE2544" s="84"/>
      <c r="GF2544" s="84"/>
      <c r="GG2544" s="84"/>
      <c r="GH2544" s="84"/>
    </row>
    <row r="2545" spans="187:190" s="2" customFormat="1" ht="18" customHeight="1" x14ac:dyDescent="0.2">
      <c r="GE2545" s="84"/>
      <c r="GF2545" s="84"/>
      <c r="GG2545" s="84"/>
      <c r="GH2545" s="84"/>
    </row>
    <row r="2546" spans="187:190" s="2" customFormat="1" ht="18" customHeight="1" x14ac:dyDescent="0.2">
      <c r="GE2546" s="84"/>
      <c r="GF2546" s="84"/>
      <c r="GG2546" s="84"/>
      <c r="GH2546" s="84"/>
    </row>
    <row r="2547" spans="187:190" s="2" customFormat="1" ht="18" customHeight="1" x14ac:dyDescent="0.2">
      <c r="GE2547" s="84"/>
      <c r="GF2547" s="84"/>
      <c r="GG2547" s="84"/>
      <c r="GH2547" s="84"/>
    </row>
    <row r="2548" spans="187:190" s="2" customFormat="1" ht="18" customHeight="1" x14ac:dyDescent="0.2">
      <c r="GE2548" s="84"/>
      <c r="GF2548" s="84"/>
      <c r="GG2548" s="84"/>
      <c r="GH2548" s="84"/>
    </row>
    <row r="2549" spans="187:190" s="2" customFormat="1" ht="18" customHeight="1" x14ac:dyDescent="0.2">
      <c r="GE2549" s="84"/>
      <c r="GF2549" s="84"/>
      <c r="GG2549" s="84"/>
      <c r="GH2549" s="84"/>
    </row>
    <row r="2550" spans="187:190" s="2" customFormat="1" ht="18" customHeight="1" x14ac:dyDescent="0.2">
      <c r="GE2550" s="84"/>
      <c r="GF2550" s="84"/>
      <c r="GG2550" s="84"/>
      <c r="GH2550" s="84"/>
    </row>
    <row r="2551" spans="187:190" s="2" customFormat="1" ht="18" customHeight="1" x14ac:dyDescent="0.2">
      <c r="GE2551" s="84"/>
      <c r="GF2551" s="84"/>
      <c r="GG2551" s="84"/>
      <c r="GH2551" s="84"/>
    </row>
    <row r="2552" spans="187:190" s="2" customFormat="1" ht="18" customHeight="1" x14ac:dyDescent="0.2">
      <c r="GE2552" s="84"/>
      <c r="GF2552" s="84"/>
      <c r="GG2552" s="84"/>
      <c r="GH2552" s="84"/>
    </row>
    <row r="2553" spans="187:190" s="2" customFormat="1" ht="18" customHeight="1" x14ac:dyDescent="0.2">
      <c r="GE2553" s="84"/>
      <c r="GF2553" s="84"/>
      <c r="GG2553" s="84"/>
      <c r="GH2553" s="84"/>
    </row>
    <row r="2554" spans="187:190" s="2" customFormat="1" ht="18" customHeight="1" x14ac:dyDescent="0.2">
      <c r="GE2554" s="84"/>
      <c r="GF2554" s="84"/>
      <c r="GG2554" s="84"/>
      <c r="GH2554" s="84"/>
    </row>
    <row r="2555" spans="187:190" s="2" customFormat="1" ht="18" customHeight="1" x14ac:dyDescent="0.2">
      <c r="GE2555" s="84"/>
      <c r="GF2555" s="84"/>
      <c r="GG2555" s="84"/>
      <c r="GH2555" s="84"/>
    </row>
    <row r="2556" spans="187:190" s="2" customFormat="1" ht="18" customHeight="1" x14ac:dyDescent="0.2">
      <c r="GE2556" s="84"/>
      <c r="GF2556" s="84"/>
      <c r="GG2556" s="84"/>
      <c r="GH2556" s="84"/>
    </row>
    <row r="2557" spans="187:190" s="2" customFormat="1" ht="18" customHeight="1" x14ac:dyDescent="0.2">
      <c r="GE2557" s="84"/>
      <c r="GF2557" s="84"/>
      <c r="GG2557" s="84"/>
      <c r="GH2557" s="84"/>
    </row>
    <row r="2558" spans="187:190" s="2" customFormat="1" ht="18" customHeight="1" x14ac:dyDescent="0.2">
      <c r="GE2558" s="84"/>
      <c r="GF2558" s="84"/>
      <c r="GG2558" s="84"/>
      <c r="GH2558" s="84"/>
    </row>
    <row r="2559" spans="187:190" s="2" customFormat="1" ht="18" customHeight="1" x14ac:dyDescent="0.2">
      <c r="GE2559" s="84"/>
      <c r="GF2559" s="84"/>
      <c r="GG2559" s="84"/>
      <c r="GH2559" s="84"/>
    </row>
    <row r="2560" spans="187:190" s="2" customFormat="1" ht="18" customHeight="1" x14ac:dyDescent="0.2">
      <c r="GE2560" s="84"/>
      <c r="GF2560" s="84"/>
      <c r="GG2560" s="84"/>
      <c r="GH2560" s="84"/>
    </row>
    <row r="2561" spans="187:190" s="2" customFormat="1" ht="18" customHeight="1" x14ac:dyDescent="0.2">
      <c r="GE2561" s="84"/>
      <c r="GF2561" s="84"/>
      <c r="GG2561" s="84"/>
      <c r="GH2561" s="84"/>
    </row>
    <row r="2562" spans="187:190" s="2" customFormat="1" ht="18" customHeight="1" x14ac:dyDescent="0.2">
      <c r="GE2562" s="84"/>
      <c r="GF2562" s="84"/>
      <c r="GG2562" s="84"/>
      <c r="GH2562" s="84"/>
    </row>
    <row r="2563" spans="187:190" s="2" customFormat="1" ht="18" customHeight="1" x14ac:dyDescent="0.2">
      <c r="GE2563" s="84"/>
      <c r="GF2563" s="84"/>
      <c r="GG2563" s="84"/>
      <c r="GH2563" s="84"/>
    </row>
    <row r="2564" spans="187:190" s="2" customFormat="1" ht="18" customHeight="1" x14ac:dyDescent="0.2">
      <c r="GE2564" s="84"/>
      <c r="GF2564" s="84"/>
      <c r="GG2564" s="84"/>
      <c r="GH2564" s="84"/>
    </row>
    <row r="2565" spans="187:190" s="2" customFormat="1" ht="18" customHeight="1" x14ac:dyDescent="0.2">
      <c r="GE2565" s="84"/>
      <c r="GF2565" s="84"/>
      <c r="GG2565" s="84"/>
      <c r="GH2565" s="84"/>
    </row>
    <row r="2566" spans="187:190" s="2" customFormat="1" ht="18" customHeight="1" x14ac:dyDescent="0.2">
      <c r="GE2566" s="84"/>
      <c r="GF2566" s="84"/>
      <c r="GG2566" s="84"/>
      <c r="GH2566" s="84"/>
    </row>
    <row r="2567" spans="187:190" s="2" customFormat="1" ht="18" customHeight="1" x14ac:dyDescent="0.2">
      <c r="GE2567" s="84"/>
      <c r="GF2567" s="84"/>
      <c r="GG2567" s="84"/>
      <c r="GH2567" s="84"/>
    </row>
    <row r="2568" spans="187:190" s="2" customFormat="1" ht="18" customHeight="1" x14ac:dyDescent="0.2">
      <c r="GE2568" s="84"/>
      <c r="GF2568" s="84"/>
      <c r="GG2568" s="84"/>
      <c r="GH2568" s="84"/>
    </row>
    <row r="2569" spans="187:190" s="2" customFormat="1" ht="18" customHeight="1" x14ac:dyDescent="0.2">
      <c r="GE2569" s="84"/>
      <c r="GF2569" s="84"/>
      <c r="GG2569" s="84"/>
      <c r="GH2569" s="84"/>
    </row>
    <row r="2570" spans="187:190" s="2" customFormat="1" ht="18" customHeight="1" x14ac:dyDescent="0.2">
      <c r="GE2570" s="84"/>
      <c r="GF2570" s="84"/>
      <c r="GG2570" s="84"/>
      <c r="GH2570" s="84"/>
    </row>
    <row r="2571" spans="187:190" s="2" customFormat="1" ht="18" customHeight="1" x14ac:dyDescent="0.2">
      <c r="GE2571" s="84"/>
      <c r="GF2571" s="84"/>
      <c r="GG2571" s="84"/>
      <c r="GH2571" s="84"/>
    </row>
    <row r="2572" spans="187:190" s="2" customFormat="1" ht="18" customHeight="1" x14ac:dyDescent="0.2">
      <c r="GE2572" s="84"/>
      <c r="GF2572" s="84"/>
      <c r="GG2572" s="84"/>
      <c r="GH2572" s="84"/>
    </row>
    <row r="2573" spans="187:190" s="2" customFormat="1" ht="18" customHeight="1" x14ac:dyDescent="0.2">
      <c r="GE2573" s="84"/>
      <c r="GF2573" s="84"/>
      <c r="GG2573" s="84"/>
      <c r="GH2573" s="84"/>
    </row>
    <row r="2574" spans="187:190" s="2" customFormat="1" ht="18" customHeight="1" x14ac:dyDescent="0.2">
      <c r="GE2574" s="84"/>
      <c r="GF2574" s="84"/>
      <c r="GG2574" s="84"/>
      <c r="GH2574" s="84"/>
    </row>
    <row r="2575" spans="187:190" s="2" customFormat="1" ht="18" customHeight="1" x14ac:dyDescent="0.2">
      <c r="GE2575" s="84"/>
      <c r="GF2575" s="84"/>
      <c r="GG2575" s="84"/>
      <c r="GH2575" s="84"/>
    </row>
    <row r="2576" spans="187:190" s="2" customFormat="1" ht="18" customHeight="1" x14ac:dyDescent="0.2">
      <c r="GE2576" s="84"/>
      <c r="GF2576" s="84"/>
      <c r="GG2576" s="84"/>
      <c r="GH2576" s="84"/>
    </row>
    <row r="2577" spans="187:190" s="2" customFormat="1" ht="18" customHeight="1" x14ac:dyDescent="0.2">
      <c r="GE2577" s="84"/>
      <c r="GF2577" s="84"/>
      <c r="GG2577" s="84"/>
      <c r="GH2577" s="84"/>
    </row>
    <row r="2578" spans="187:190" s="2" customFormat="1" ht="18" customHeight="1" x14ac:dyDescent="0.2">
      <c r="GE2578" s="84"/>
      <c r="GF2578" s="84"/>
      <c r="GG2578" s="84"/>
      <c r="GH2578" s="84"/>
    </row>
    <row r="2579" spans="187:190" s="2" customFormat="1" ht="18" customHeight="1" x14ac:dyDescent="0.2">
      <c r="GE2579" s="84"/>
      <c r="GF2579" s="84"/>
      <c r="GG2579" s="84"/>
      <c r="GH2579" s="84"/>
    </row>
    <row r="2580" spans="187:190" s="2" customFormat="1" ht="18" customHeight="1" x14ac:dyDescent="0.2">
      <c r="GE2580" s="84"/>
      <c r="GF2580" s="84"/>
      <c r="GG2580" s="84"/>
      <c r="GH2580" s="84"/>
    </row>
    <row r="2581" spans="187:190" s="2" customFormat="1" ht="18" customHeight="1" x14ac:dyDescent="0.2">
      <c r="GE2581" s="84"/>
      <c r="GF2581" s="84"/>
      <c r="GG2581" s="84"/>
      <c r="GH2581" s="84"/>
    </row>
    <row r="2582" spans="187:190" s="2" customFormat="1" ht="18" customHeight="1" x14ac:dyDescent="0.2">
      <c r="GE2582" s="84"/>
      <c r="GF2582" s="84"/>
      <c r="GG2582" s="84"/>
      <c r="GH2582" s="84"/>
    </row>
    <row r="2583" spans="187:190" s="2" customFormat="1" ht="18" customHeight="1" x14ac:dyDescent="0.2">
      <c r="GE2583" s="84"/>
      <c r="GF2583" s="84"/>
      <c r="GG2583" s="84"/>
      <c r="GH2583" s="84"/>
    </row>
    <row r="2584" spans="187:190" s="2" customFormat="1" ht="18" customHeight="1" x14ac:dyDescent="0.2">
      <c r="GE2584" s="84"/>
      <c r="GF2584" s="84"/>
      <c r="GG2584" s="84"/>
      <c r="GH2584" s="84"/>
    </row>
    <row r="2585" spans="187:190" s="2" customFormat="1" ht="18" customHeight="1" x14ac:dyDescent="0.2">
      <c r="GE2585" s="84"/>
      <c r="GF2585" s="84"/>
      <c r="GG2585" s="84"/>
      <c r="GH2585" s="84"/>
    </row>
    <row r="2586" spans="187:190" s="2" customFormat="1" ht="18" customHeight="1" x14ac:dyDescent="0.2">
      <c r="GE2586" s="84"/>
      <c r="GF2586" s="84"/>
      <c r="GG2586" s="84"/>
      <c r="GH2586" s="84"/>
    </row>
    <row r="2587" spans="187:190" s="2" customFormat="1" ht="18" customHeight="1" x14ac:dyDescent="0.2">
      <c r="GE2587" s="84"/>
      <c r="GF2587" s="84"/>
      <c r="GG2587" s="84"/>
      <c r="GH2587" s="84"/>
    </row>
    <row r="2588" spans="187:190" s="2" customFormat="1" ht="18" customHeight="1" x14ac:dyDescent="0.2">
      <c r="GE2588" s="84"/>
      <c r="GF2588" s="84"/>
      <c r="GG2588" s="84"/>
      <c r="GH2588" s="84"/>
    </row>
    <row r="2589" spans="187:190" s="2" customFormat="1" ht="18" customHeight="1" x14ac:dyDescent="0.2">
      <c r="GE2589" s="84"/>
      <c r="GF2589" s="84"/>
      <c r="GG2589" s="84"/>
      <c r="GH2589" s="84"/>
    </row>
    <row r="2590" spans="187:190" s="2" customFormat="1" ht="18" customHeight="1" x14ac:dyDescent="0.2">
      <c r="GE2590" s="84"/>
      <c r="GF2590" s="84"/>
      <c r="GG2590" s="84"/>
      <c r="GH2590" s="84"/>
    </row>
    <row r="2591" spans="187:190" s="2" customFormat="1" ht="18" customHeight="1" x14ac:dyDescent="0.2">
      <c r="GE2591" s="84"/>
      <c r="GF2591" s="84"/>
      <c r="GG2591" s="84"/>
      <c r="GH2591" s="84"/>
    </row>
    <row r="2592" spans="187:190" s="2" customFormat="1" ht="18" customHeight="1" x14ac:dyDescent="0.2">
      <c r="GE2592" s="84"/>
      <c r="GF2592" s="84"/>
      <c r="GG2592" s="84"/>
      <c r="GH2592" s="84"/>
    </row>
    <row r="2593" spans="187:190" s="2" customFormat="1" ht="18" customHeight="1" x14ac:dyDescent="0.2">
      <c r="GE2593" s="84"/>
      <c r="GF2593" s="84"/>
      <c r="GG2593" s="84"/>
      <c r="GH2593" s="84"/>
    </row>
    <row r="2594" spans="187:190" s="2" customFormat="1" ht="18" customHeight="1" x14ac:dyDescent="0.2">
      <c r="GE2594" s="84"/>
      <c r="GF2594" s="84"/>
      <c r="GG2594" s="84"/>
      <c r="GH2594" s="84"/>
    </row>
    <row r="2595" spans="187:190" s="2" customFormat="1" ht="18" customHeight="1" x14ac:dyDescent="0.2">
      <c r="GE2595" s="84"/>
      <c r="GF2595" s="84"/>
      <c r="GG2595" s="84"/>
      <c r="GH2595" s="84"/>
    </row>
    <row r="2596" spans="187:190" s="2" customFormat="1" ht="18" customHeight="1" x14ac:dyDescent="0.2">
      <c r="GE2596" s="84"/>
      <c r="GF2596" s="84"/>
      <c r="GG2596" s="84"/>
      <c r="GH2596" s="84"/>
    </row>
    <row r="2597" spans="187:190" s="2" customFormat="1" ht="18" customHeight="1" x14ac:dyDescent="0.2">
      <c r="GE2597" s="84"/>
      <c r="GF2597" s="84"/>
      <c r="GG2597" s="84"/>
      <c r="GH2597" s="84"/>
    </row>
    <row r="2598" spans="187:190" s="2" customFormat="1" ht="18" customHeight="1" x14ac:dyDescent="0.2">
      <c r="GE2598" s="84"/>
      <c r="GF2598" s="84"/>
      <c r="GG2598" s="84"/>
      <c r="GH2598" s="84"/>
    </row>
    <row r="2599" spans="187:190" s="2" customFormat="1" ht="18" customHeight="1" x14ac:dyDescent="0.2">
      <c r="GE2599" s="84"/>
      <c r="GF2599" s="84"/>
      <c r="GG2599" s="84"/>
      <c r="GH2599" s="84"/>
    </row>
    <row r="2600" spans="187:190" s="2" customFormat="1" ht="18" customHeight="1" x14ac:dyDescent="0.2">
      <c r="GE2600" s="84"/>
      <c r="GF2600" s="84"/>
      <c r="GG2600" s="84"/>
      <c r="GH2600" s="84"/>
    </row>
    <row r="2601" spans="187:190" s="2" customFormat="1" ht="18" customHeight="1" x14ac:dyDescent="0.2">
      <c r="GE2601" s="84"/>
      <c r="GF2601" s="84"/>
      <c r="GG2601" s="84"/>
      <c r="GH2601" s="84"/>
    </row>
    <row r="2602" spans="187:190" s="2" customFormat="1" ht="18" customHeight="1" x14ac:dyDescent="0.2">
      <c r="GE2602" s="84"/>
      <c r="GF2602" s="84"/>
      <c r="GG2602" s="84"/>
      <c r="GH2602" s="84"/>
    </row>
    <row r="2603" spans="187:190" s="2" customFormat="1" ht="18" customHeight="1" x14ac:dyDescent="0.2">
      <c r="GE2603" s="84"/>
      <c r="GF2603" s="84"/>
      <c r="GG2603" s="84"/>
      <c r="GH2603" s="84"/>
    </row>
    <row r="2604" spans="187:190" s="2" customFormat="1" ht="18" customHeight="1" x14ac:dyDescent="0.2">
      <c r="GE2604" s="84"/>
      <c r="GF2604" s="84"/>
      <c r="GG2604" s="84"/>
      <c r="GH2604" s="84"/>
    </row>
    <row r="2605" spans="187:190" s="2" customFormat="1" ht="18" customHeight="1" x14ac:dyDescent="0.2">
      <c r="GE2605" s="84"/>
      <c r="GF2605" s="84"/>
      <c r="GG2605" s="84"/>
      <c r="GH2605" s="84"/>
    </row>
    <row r="2606" spans="187:190" s="2" customFormat="1" ht="18" customHeight="1" x14ac:dyDescent="0.2">
      <c r="GE2606" s="84"/>
      <c r="GF2606" s="84"/>
      <c r="GG2606" s="84"/>
      <c r="GH2606" s="84"/>
    </row>
    <row r="2607" spans="187:190" s="2" customFormat="1" ht="18" customHeight="1" x14ac:dyDescent="0.2">
      <c r="GE2607" s="84"/>
      <c r="GF2607" s="84"/>
      <c r="GG2607" s="84"/>
      <c r="GH2607" s="84"/>
    </row>
    <row r="2608" spans="187:190" s="2" customFormat="1" ht="18" customHeight="1" x14ac:dyDescent="0.2">
      <c r="GE2608" s="84"/>
      <c r="GF2608" s="84"/>
      <c r="GG2608" s="84"/>
      <c r="GH2608" s="84"/>
    </row>
    <row r="2609" spans="187:190" s="2" customFormat="1" ht="18" customHeight="1" x14ac:dyDescent="0.2">
      <c r="GE2609" s="84"/>
      <c r="GF2609" s="84"/>
      <c r="GG2609" s="84"/>
      <c r="GH2609" s="84"/>
    </row>
    <row r="2610" spans="187:190" s="2" customFormat="1" ht="18" customHeight="1" x14ac:dyDescent="0.2">
      <c r="GE2610" s="84"/>
      <c r="GF2610" s="84"/>
      <c r="GG2610" s="84"/>
      <c r="GH2610" s="84"/>
    </row>
    <row r="2611" spans="187:190" s="2" customFormat="1" ht="18" customHeight="1" x14ac:dyDescent="0.2">
      <c r="GE2611" s="84"/>
      <c r="GF2611" s="84"/>
      <c r="GG2611" s="84"/>
      <c r="GH2611" s="84"/>
    </row>
    <row r="2612" spans="187:190" s="2" customFormat="1" ht="18" customHeight="1" x14ac:dyDescent="0.2">
      <c r="GE2612" s="84"/>
      <c r="GF2612" s="84"/>
      <c r="GG2612" s="84"/>
      <c r="GH2612" s="84"/>
    </row>
    <row r="2613" spans="187:190" s="2" customFormat="1" ht="18" customHeight="1" x14ac:dyDescent="0.2">
      <c r="GE2613" s="84"/>
      <c r="GF2613" s="84"/>
      <c r="GG2613" s="84"/>
      <c r="GH2613" s="84"/>
    </row>
    <row r="2614" spans="187:190" s="2" customFormat="1" ht="18" customHeight="1" x14ac:dyDescent="0.2">
      <c r="GE2614" s="84"/>
      <c r="GF2614" s="84"/>
      <c r="GG2614" s="84"/>
      <c r="GH2614" s="84"/>
    </row>
    <row r="2615" spans="187:190" s="2" customFormat="1" ht="18" customHeight="1" x14ac:dyDescent="0.2">
      <c r="GE2615" s="84"/>
      <c r="GF2615" s="84"/>
      <c r="GG2615" s="84"/>
      <c r="GH2615" s="84"/>
    </row>
    <row r="2616" spans="187:190" s="2" customFormat="1" ht="18" customHeight="1" x14ac:dyDescent="0.2">
      <c r="GE2616" s="84"/>
      <c r="GF2616" s="84"/>
      <c r="GG2616" s="84"/>
      <c r="GH2616" s="84"/>
    </row>
    <row r="2617" spans="187:190" s="2" customFormat="1" ht="18" customHeight="1" x14ac:dyDescent="0.2">
      <c r="GE2617" s="84"/>
      <c r="GF2617" s="84"/>
      <c r="GG2617" s="84"/>
      <c r="GH2617" s="84"/>
    </row>
    <row r="2618" spans="187:190" s="2" customFormat="1" ht="18" customHeight="1" x14ac:dyDescent="0.2">
      <c r="GE2618" s="84"/>
      <c r="GF2618" s="84"/>
      <c r="GG2618" s="84"/>
      <c r="GH2618" s="84"/>
    </row>
    <row r="2619" spans="187:190" s="2" customFormat="1" ht="18" customHeight="1" x14ac:dyDescent="0.2">
      <c r="GE2619" s="84"/>
      <c r="GF2619" s="84"/>
      <c r="GG2619" s="84"/>
      <c r="GH2619" s="84"/>
    </row>
    <row r="2620" spans="187:190" s="2" customFormat="1" ht="18" customHeight="1" x14ac:dyDescent="0.2">
      <c r="GE2620" s="84"/>
      <c r="GF2620" s="84"/>
      <c r="GG2620" s="84"/>
      <c r="GH2620" s="84"/>
    </row>
    <row r="2621" spans="187:190" s="2" customFormat="1" ht="18" customHeight="1" x14ac:dyDescent="0.2">
      <c r="GE2621" s="84"/>
      <c r="GF2621" s="84"/>
      <c r="GG2621" s="84"/>
      <c r="GH2621" s="84"/>
    </row>
    <row r="2622" spans="187:190" s="2" customFormat="1" ht="18" customHeight="1" x14ac:dyDescent="0.2">
      <c r="GE2622" s="84"/>
      <c r="GF2622" s="84"/>
      <c r="GG2622" s="84"/>
      <c r="GH2622" s="84"/>
    </row>
    <row r="2623" spans="187:190" s="2" customFormat="1" ht="18" customHeight="1" x14ac:dyDescent="0.2">
      <c r="GE2623" s="84"/>
      <c r="GF2623" s="84"/>
      <c r="GG2623" s="84"/>
      <c r="GH2623" s="84"/>
    </row>
    <row r="2624" spans="187:190" s="2" customFormat="1" ht="18" customHeight="1" x14ac:dyDescent="0.2">
      <c r="GE2624" s="84"/>
      <c r="GF2624" s="84"/>
      <c r="GG2624" s="84"/>
      <c r="GH2624" s="84"/>
    </row>
    <row r="2625" spans="187:190" s="2" customFormat="1" ht="18" customHeight="1" x14ac:dyDescent="0.2">
      <c r="GE2625" s="84"/>
      <c r="GF2625" s="84"/>
      <c r="GG2625" s="84"/>
      <c r="GH2625" s="84"/>
    </row>
    <row r="2626" spans="187:190" s="2" customFormat="1" ht="18" customHeight="1" x14ac:dyDescent="0.2">
      <c r="GE2626" s="84"/>
      <c r="GF2626" s="84"/>
      <c r="GG2626" s="84"/>
      <c r="GH2626" s="84"/>
    </row>
    <row r="2627" spans="187:190" s="2" customFormat="1" ht="18" customHeight="1" x14ac:dyDescent="0.2">
      <c r="GE2627" s="84"/>
      <c r="GF2627" s="84"/>
      <c r="GG2627" s="84"/>
      <c r="GH2627" s="84"/>
    </row>
    <row r="2628" spans="187:190" s="2" customFormat="1" ht="18" customHeight="1" x14ac:dyDescent="0.2">
      <c r="GE2628" s="84"/>
      <c r="GF2628" s="84"/>
      <c r="GG2628" s="84"/>
      <c r="GH2628" s="84"/>
    </row>
    <row r="2629" spans="187:190" s="2" customFormat="1" ht="18" customHeight="1" x14ac:dyDescent="0.2">
      <c r="GE2629" s="84"/>
      <c r="GF2629" s="84"/>
      <c r="GG2629" s="84"/>
      <c r="GH2629" s="84"/>
    </row>
    <row r="2630" spans="187:190" s="2" customFormat="1" ht="18" customHeight="1" x14ac:dyDescent="0.2">
      <c r="GE2630" s="84"/>
      <c r="GF2630" s="84"/>
      <c r="GG2630" s="84"/>
      <c r="GH2630" s="84"/>
    </row>
    <row r="2631" spans="187:190" s="2" customFormat="1" ht="18" customHeight="1" x14ac:dyDescent="0.2">
      <c r="GE2631" s="84"/>
      <c r="GF2631" s="84"/>
      <c r="GG2631" s="84"/>
      <c r="GH2631" s="84"/>
    </row>
    <row r="2632" spans="187:190" s="2" customFormat="1" ht="18" customHeight="1" x14ac:dyDescent="0.2">
      <c r="GE2632" s="84"/>
      <c r="GF2632" s="84"/>
      <c r="GG2632" s="84"/>
      <c r="GH2632" s="84"/>
    </row>
    <row r="2633" spans="187:190" s="2" customFormat="1" ht="18" customHeight="1" x14ac:dyDescent="0.2">
      <c r="GE2633" s="84"/>
      <c r="GF2633" s="84"/>
      <c r="GG2633" s="84"/>
      <c r="GH2633" s="84"/>
    </row>
    <row r="2634" spans="187:190" s="2" customFormat="1" ht="18" customHeight="1" x14ac:dyDescent="0.2">
      <c r="GE2634" s="84"/>
      <c r="GF2634" s="84"/>
      <c r="GG2634" s="84"/>
      <c r="GH2634" s="84"/>
    </row>
    <row r="2635" spans="187:190" s="2" customFormat="1" ht="18" customHeight="1" x14ac:dyDescent="0.2">
      <c r="GE2635" s="84"/>
      <c r="GF2635" s="84"/>
      <c r="GG2635" s="84"/>
      <c r="GH2635" s="84"/>
    </row>
    <row r="2636" spans="187:190" s="2" customFormat="1" ht="18" customHeight="1" x14ac:dyDescent="0.2">
      <c r="GE2636" s="84"/>
      <c r="GF2636" s="84"/>
      <c r="GG2636" s="84"/>
      <c r="GH2636" s="84"/>
    </row>
    <row r="2637" spans="187:190" s="2" customFormat="1" ht="18" customHeight="1" x14ac:dyDescent="0.2">
      <c r="GE2637" s="84"/>
      <c r="GF2637" s="84"/>
      <c r="GG2637" s="84"/>
      <c r="GH2637" s="84"/>
    </row>
    <row r="2638" spans="187:190" s="2" customFormat="1" ht="18" customHeight="1" x14ac:dyDescent="0.2">
      <c r="GE2638" s="84"/>
      <c r="GF2638" s="84"/>
      <c r="GG2638" s="84"/>
      <c r="GH2638" s="84"/>
    </row>
    <row r="2639" spans="187:190" s="2" customFormat="1" ht="18" customHeight="1" x14ac:dyDescent="0.2">
      <c r="GE2639" s="84"/>
      <c r="GF2639" s="84"/>
      <c r="GG2639" s="84"/>
      <c r="GH2639" s="84"/>
    </row>
    <row r="2640" spans="187:190" s="2" customFormat="1" ht="18" customHeight="1" x14ac:dyDescent="0.2">
      <c r="GE2640" s="84"/>
      <c r="GF2640" s="84"/>
      <c r="GG2640" s="84"/>
      <c r="GH2640" s="84"/>
    </row>
    <row r="2641" spans="187:190" s="2" customFormat="1" ht="18" customHeight="1" x14ac:dyDescent="0.2">
      <c r="GE2641" s="84"/>
      <c r="GF2641" s="84"/>
      <c r="GG2641" s="84"/>
      <c r="GH2641" s="84"/>
    </row>
    <row r="2642" spans="187:190" s="2" customFormat="1" ht="18" customHeight="1" x14ac:dyDescent="0.2">
      <c r="GE2642" s="84"/>
      <c r="GF2642" s="84"/>
      <c r="GG2642" s="84"/>
      <c r="GH2642" s="84"/>
    </row>
    <row r="2643" spans="187:190" s="2" customFormat="1" ht="18" customHeight="1" x14ac:dyDescent="0.2">
      <c r="GE2643" s="84"/>
      <c r="GF2643" s="84"/>
      <c r="GG2643" s="84"/>
      <c r="GH2643" s="84"/>
    </row>
    <row r="2644" spans="187:190" s="2" customFormat="1" ht="18" customHeight="1" x14ac:dyDescent="0.2">
      <c r="GE2644" s="84"/>
      <c r="GF2644" s="84"/>
      <c r="GG2644" s="84"/>
      <c r="GH2644" s="84"/>
    </row>
    <row r="2645" spans="187:190" s="2" customFormat="1" ht="18" customHeight="1" x14ac:dyDescent="0.2">
      <c r="GE2645" s="84"/>
      <c r="GF2645" s="84"/>
      <c r="GG2645" s="84"/>
      <c r="GH2645" s="84"/>
    </row>
    <row r="2646" spans="187:190" s="2" customFormat="1" ht="18" customHeight="1" x14ac:dyDescent="0.2">
      <c r="GE2646" s="84"/>
      <c r="GF2646" s="84"/>
      <c r="GG2646" s="84"/>
      <c r="GH2646" s="84"/>
    </row>
    <row r="2647" spans="187:190" s="2" customFormat="1" ht="18" customHeight="1" x14ac:dyDescent="0.2">
      <c r="GE2647" s="84"/>
      <c r="GF2647" s="84"/>
      <c r="GG2647" s="84"/>
      <c r="GH2647" s="84"/>
    </row>
    <row r="2648" spans="187:190" s="2" customFormat="1" ht="18" customHeight="1" x14ac:dyDescent="0.2">
      <c r="GE2648" s="84"/>
      <c r="GF2648" s="84"/>
      <c r="GG2648" s="84"/>
      <c r="GH2648" s="84"/>
    </row>
    <row r="2649" spans="187:190" s="2" customFormat="1" ht="18" customHeight="1" x14ac:dyDescent="0.2">
      <c r="GE2649" s="84"/>
      <c r="GF2649" s="84"/>
      <c r="GG2649" s="84"/>
      <c r="GH2649" s="84"/>
    </row>
    <row r="2650" spans="187:190" s="2" customFormat="1" ht="18" customHeight="1" x14ac:dyDescent="0.2">
      <c r="GE2650" s="84"/>
      <c r="GF2650" s="84"/>
      <c r="GG2650" s="84"/>
      <c r="GH2650" s="84"/>
    </row>
    <row r="2651" spans="187:190" s="2" customFormat="1" ht="18" customHeight="1" x14ac:dyDescent="0.2">
      <c r="GE2651" s="84"/>
      <c r="GF2651" s="84"/>
      <c r="GG2651" s="84"/>
      <c r="GH2651" s="84"/>
    </row>
    <row r="2652" spans="187:190" s="2" customFormat="1" ht="18" customHeight="1" x14ac:dyDescent="0.2">
      <c r="GE2652" s="84"/>
      <c r="GF2652" s="84"/>
      <c r="GG2652" s="84"/>
      <c r="GH2652" s="84"/>
    </row>
    <row r="2653" spans="187:190" s="2" customFormat="1" ht="18" customHeight="1" x14ac:dyDescent="0.2">
      <c r="GE2653" s="84"/>
      <c r="GF2653" s="84"/>
      <c r="GG2653" s="84"/>
      <c r="GH2653" s="84"/>
    </row>
    <row r="2654" spans="187:190" s="2" customFormat="1" ht="18" customHeight="1" x14ac:dyDescent="0.2">
      <c r="GE2654" s="84"/>
      <c r="GF2654" s="84"/>
      <c r="GG2654" s="84"/>
      <c r="GH2654" s="84"/>
    </row>
    <row r="2655" spans="187:190" s="2" customFormat="1" ht="18" customHeight="1" x14ac:dyDescent="0.2">
      <c r="GE2655" s="84"/>
      <c r="GF2655" s="84"/>
      <c r="GG2655" s="84"/>
      <c r="GH2655" s="84"/>
    </row>
    <row r="2656" spans="187:190" s="2" customFormat="1" ht="18" customHeight="1" x14ac:dyDescent="0.2">
      <c r="GE2656" s="84"/>
      <c r="GF2656" s="84"/>
      <c r="GG2656" s="84"/>
      <c r="GH2656" s="84"/>
    </row>
    <row r="2657" spans="187:190" s="2" customFormat="1" ht="18" customHeight="1" x14ac:dyDescent="0.2">
      <c r="GE2657" s="84"/>
      <c r="GF2657" s="84"/>
      <c r="GG2657" s="84"/>
      <c r="GH2657" s="84"/>
    </row>
    <row r="2658" spans="187:190" s="2" customFormat="1" ht="18" customHeight="1" x14ac:dyDescent="0.2">
      <c r="GE2658" s="84"/>
      <c r="GF2658" s="84"/>
      <c r="GG2658" s="84"/>
      <c r="GH2658" s="84"/>
    </row>
    <row r="2659" spans="187:190" s="2" customFormat="1" ht="18" customHeight="1" x14ac:dyDescent="0.2">
      <c r="GE2659" s="84"/>
      <c r="GF2659" s="84"/>
      <c r="GG2659" s="84"/>
      <c r="GH2659" s="84"/>
    </row>
    <row r="2660" spans="187:190" s="2" customFormat="1" ht="18" customHeight="1" x14ac:dyDescent="0.2">
      <c r="GE2660" s="84"/>
      <c r="GF2660" s="84"/>
      <c r="GG2660" s="84"/>
      <c r="GH2660" s="84"/>
    </row>
    <row r="2661" spans="187:190" s="2" customFormat="1" ht="18" customHeight="1" x14ac:dyDescent="0.2">
      <c r="GE2661" s="84"/>
      <c r="GF2661" s="84"/>
      <c r="GG2661" s="84"/>
      <c r="GH2661" s="84"/>
    </row>
    <row r="2662" spans="187:190" s="2" customFormat="1" ht="18" customHeight="1" x14ac:dyDescent="0.2">
      <c r="GE2662" s="84"/>
      <c r="GF2662" s="84"/>
      <c r="GG2662" s="84"/>
      <c r="GH2662" s="84"/>
    </row>
    <row r="2663" spans="187:190" s="2" customFormat="1" ht="18" customHeight="1" x14ac:dyDescent="0.2">
      <c r="GE2663" s="84"/>
      <c r="GF2663" s="84"/>
      <c r="GG2663" s="84"/>
      <c r="GH2663" s="84"/>
    </row>
    <row r="2664" spans="187:190" s="2" customFormat="1" ht="18" customHeight="1" x14ac:dyDescent="0.2">
      <c r="GE2664" s="84"/>
      <c r="GF2664" s="84"/>
      <c r="GG2664" s="84"/>
      <c r="GH2664" s="84"/>
    </row>
    <row r="2665" spans="187:190" s="2" customFormat="1" ht="18" customHeight="1" x14ac:dyDescent="0.2">
      <c r="GE2665" s="84"/>
      <c r="GF2665" s="84"/>
      <c r="GG2665" s="84"/>
      <c r="GH2665" s="84"/>
    </row>
    <row r="2666" spans="187:190" s="2" customFormat="1" ht="18" customHeight="1" x14ac:dyDescent="0.2">
      <c r="GE2666" s="84"/>
      <c r="GF2666" s="84"/>
      <c r="GG2666" s="84"/>
      <c r="GH2666" s="84"/>
    </row>
    <row r="2667" spans="187:190" s="2" customFormat="1" ht="18" customHeight="1" x14ac:dyDescent="0.2">
      <c r="GE2667" s="84"/>
      <c r="GF2667" s="84"/>
      <c r="GG2667" s="84"/>
      <c r="GH2667" s="84"/>
    </row>
    <row r="2668" spans="187:190" s="2" customFormat="1" ht="18" customHeight="1" x14ac:dyDescent="0.2">
      <c r="GE2668" s="84"/>
      <c r="GF2668" s="84"/>
      <c r="GG2668" s="84"/>
      <c r="GH2668" s="84"/>
    </row>
    <row r="2669" spans="187:190" s="2" customFormat="1" ht="18" customHeight="1" x14ac:dyDescent="0.2">
      <c r="GE2669" s="84"/>
      <c r="GF2669" s="84"/>
      <c r="GG2669" s="84"/>
      <c r="GH2669" s="84"/>
    </row>
    <row r="2670" spans="187:190" s="2" customFormat="1" ht="18" customHeight="1" x14ac:dyDescent="0.2">
      <c r="GE2670" s="84"/>
      <c r="GF2670" s="84"/>
      <c r="GG2670" s="84"/>
      <c r="GH2670" s="84"/>
    </row>
    <row r="2671" spans="187:190" s="2" customFormat="1" ht="18" customHeight="1" x14ac:dyDescent="0.2">
      <c r="GE2671" s="84"/>
      <c r="GF2671" s="84"/>
      <c r="GG2671" s="84"/>
      <c r="GH2671" s="84"/>
    </row>
    <row r="2672" spans="187:190" s="2" customFormat="1" ht="18" customHeight="1" x14ac:dyDescent="0.2">
      <c r="GE2672" s="84"/>
      <c r="GF2672" s="84"/>
      <c r="GG2672" s="84"/>
      <c r="GH2672" s="84"/>
    </row>
    <row r="2673" spans="187:190" s="2" customFormat="1" ht="18" customHeight="1" x14ac:dyDescent="0.2">
      <c r="GE2673" s="84"/>
      <c r="GF2673" s="84"/>
      <c r="GG2673" s="84"/>
      <c r="GH2673" s="84"/>
    </row>
    <row r="2674" spans="187:190" s="2" customFormat="1" ht="18" customHeight="1" x14ac:dyDescent="0.2">
      <c r="GE2674" s="84"/>
      <c r="GF2674" s="84"/>
      <c r="GG2674" s="84"/>
      <c r="GH2674" s="84"/>
    </row>
    <row r="2675" spans="187:190" s="2" customFormat="1" ht="18" customHeight="1" x14ac:dyDescent="0.2">
      <c r="GE2675" s="84"/>
      <c r="GF2675" s="84"/>
      <c r="GG2675" s="84"/>
      <c r="GH2675" s="84"/>
    </row>
    <row r="2676" spans="187:190" s="2" customFormat="1" ht="18" customHeight="1" x14ac:dyDescent="0.2">
      <c r="GE2676" s="84"/>
      <c r="GF2676" s="84"/>
      <c r="GG2676" s="84"/>
      <c r="GH2676" s="84"/>
    </row>
    <row r="2677" spans="187:190" s="2" customFormat="1" ht="18" customHeight="1" x14ac:dyDescent="0.2">
      <c r="GE2677" s="84"/>
      <c r="GF2677" s="84"/>
      <c r="GG2677" s="84"/>
      <c r="GH2677" s="84"/>
    </row>
    <row r="2678" spans="187:190" s="2" customFormat="1" ht="18" customHeight="1" x14ac:dyDescent="0.2">
      <c r="GE2678" s="84"/>
      <c r="GF2678" s="84"/>
      <c r="GG2678" s="84"/>
      <c r="GH2678" s="84"/>
    </row>
    <row r="2679" spans="187:190" s="2" customFormat="1" ht="18" customHeight="1" x14ac:dyDescent="0.2">
      <c r="GE2679" s="84"/>
      <c r="GF2679" s="84"/>
      <c r="GG2679" s="84"/>
      <c r="GH2679" s="84"/>
    </row>
    <row r="2680" spans="187:190" s="2" customFormat="1" ht="18" customHeight="1" x14ac:dyDescent="0.2">
      <c r="GE2680" s="84"/>
      <c r="GF2680" s="84"/>
      <c r="GG2680" s="84"/>
      <c r="GH2680" s="84"/>
    </row>
    <row r="2681" spans="187:190" s="2" customFormat="1" ht="18" customHeight="1" x14ac:dyDescent="0.2">
      <c r="GE2681" s="84"/>
      <c r="GF2681" s="84"/>
      <c r="GG2681" s="84"/>
      <c r="GH2681" s="84"/>
    </row>
    <row r="2682" spans="187:190" s="2" customFormat="1" ht="18" customHeight="1" x14ac:dyDescent="0.2">
      <c r="GE2682" s="84"/>
      <c r="GF2682" s="84"/>
      <c r="GG2682" s="84"/>
      <c r="GH2682" s="84"/>
    </row>
    <row r="2683" spans="187:190" s="2" customFormat="1" ht="18" customHeight="1" x14ac:dyDescent="0.2">
      <c r="GE2683" s="84"/>
      <c r="GF2683" s="84"/>
      <c r="GG2683" s="84"/>
      <c r="GH2683" s="84"/>
    </row>
    <row r="2684" spans="187:190" s="2" customFormat="1" ht="18" customHeight="1" x14ac:dyDescent="0.2">
      <c r="GE2684" s="84"/>
      <c r="GF2684" s="84"/>
      <c r="GG2684" s="84"/>
      <c r="GH2684" s="84"/>
    </row>
    <row r="2685" spans="187:190" s="2" customFormat="1" ht="18" customHeight="1" x14ac:dyDescent="0.2">
      <c r="GE2685" s="84"/>
      <c r="GF2685" s="84"/>
      <c r="GG2685" s="84"/>
      <c r="GH2685" s="84"/>
    </row>
    <row r="2686" spans="187:190" s="2" customFormat="1" ht="18" customHeight="1" x14ac:dyDescent="0.2">
      <c r="GE2686" s="84"/>
      <c r="GF2686" s="84"/>
      <c r="GG2686" s="84"/>
      <c r="GH2686" s="84"/>
    </row>
    <row r="2687" spans="187:190" s="2" customFormat="1" ht="18" customHeight="1" x14ac:dyDescent="0.2">
      <c r="GE2687" s="84"/>
      <c r="GF2687" s="84"/>
      <c r="GG2687" s="84"/>
      <c r="GH2687" s="84"/>
    </row>
    <row r="2688" spans="187:190" s="2" customFormat="1" ht="18" customHeight="1" x14ac:dyDescent="0.2">
      <c r="GE2688" s="84"/>
      <c r="GF2688" s="84"/>
      <c r="GG2688" s="84"/>
      <c r="GH2688" s="84"/>
    </row>
    <row r="2689" spans="187:190" s="2" customFormat="1" ht="18" customHeight="1" x14ac:dyDescent="0.2">
      <c r="GE2689" s="84"/>
      <c r="GF2689" s="84"/>
      <c r="GG2689" s="84"/>
      <c r="GH2689" s="84"/>
    </row>
    <row r="2690" spans="187:190" s="2" customFormat="1" ht="18" customHeight="1" x14ac:dyDescent="0.2">
      <c r="GE2690" s="84"/>
      <c r="GF2690" s="84"/>
      <c r="GG2690" s="84"/>
      <c r="GH2690" s="84"/>
    </row>
    <row r="2691" spans="187:190" s="2" customFormat="1" ht="18" customHeight="1" x14ac:dyDescent="0.2">
      <c r="GE2691" s="84"/>
      <c r="GF2691" s="84"/>
      <c r="GG2691" s="84"/>
      <c r="GH2691" s="84"/>
    </row>
    <row r="2692" spans="187:190" s="2" customFormat="1" ht="18" customHeight="1" x14ac:dyDescent="0.2">
      <c r="GE2692" s="84"/>
      <c r="GF2692" s="84"/>
      <c r="GG2692" s="84"/>
      <c r="GH2692" s="84"/>
    </row>
    <row r="2693" spans="187:190" s="2" customFormat="1" ht="18" customHeight="1" x14ac:dyDescent="0.2">
      <c r="GE2693" s="84"/>
      <c r="GF2693" s="84"/>
      <c r="GG2693" s="84"/>
      <c r="GH2693" s="84"/>
    </row>
    <row r="2694" spans="187:190" s="2" customFormat="1" ht="18" customHeight="1" x14ac:dyDescent="0.2">
      <c r="GE2694" s="84"/>
      <c r="GF2694" s="84"/>
      <c r="GG2694" s="84"/>
      <c r="GH2694" s="84"/>
    </row>
    <row r="2695" spans="187:190" s="2" customFormat="1" ht="18" customHeight="1" x14ac:dyDescent="0.2">
      <c r="GE2695" s="84"/>
      <c r="GF2695" s="84"/>
      <c r="GG2695" s="84"/>
      <c r="GH2695" s="84"/>
    </row>
    <row r="2696" spans="187:190" s="2" customFormat="1" ht="18" customHeight="1" x14ac:dyDescent="0.2">
      <c r="GE2696" s="84"/>
      <c r="GF2696" s="84"/>
      <c r="GG2696" s="84"/>
      <c r="GH2696" s="84"/>
    </row>
    <row r="2697" spans="187:190" s="2" customFormat="1" ht="18" customHeight="1" x14ac:dyDescent="0.2">
      <c r="GE2697" s="84"/>
      <c r="GF2697" s="84"/>
      <c r="GG2697" s="84"/>
      <c r="GH2697" s="84"/>
    </row>
    <row r="2698" spans="187:190" s="2" customFormat="1" ht="18" customHeight="1" x14ac:dyDescent="0.2">
      <c r="GE2698" s="84"/>
      <c r="GF2698" s="84"/>
      <c r="GG2698" s="84"/>
      <c r="GH2698" s="84"/>
    </row>
    <row r="2699" spans="187:190" s="2" customFormat="1" ht="18" customHeight="1" x14ac:dyDescent="0.2">
      <c r="GE2699" s="84"/>
      <c r="GF2699" s="84"/>
      <c r="GG2699" s="84"/>
      <c r="GH2699" s="84"/>
    </row>
    <row r="2700" spans="187:190" s="2" customFormat="1" ht="18" customHeight="1" x14ac:dyDescent="0.2">
      <c r="GE2700" s="84"/>
      <c r="GF2700" s="84"/>
      <c r="GG2700" s="84"/>
      <c r="GH2700" s="84"/>
    </row>
    <row r="2701" spans="187:190" s="2" customFormat="1" ht="18" customHeight="1" x14ac:dyDescent="0.2">
      <c r="GE2701" s="84"/>
      <c r="GF2701" s="84"/>
      <c r="GG2701" s="84"/>
      <c r="GH2701" s="84"/>
    </row>
    <row r="2702" spans="187:190" s="2" customFormat="1" ht="18" customHeight="1" x14ac:dyDescent="0.2">
      <c r="GE2702" s="84"/>
      <c r="GF2702" s="84"/>
      <c r="GG2702" s="84"/>
      <c r="GH2702" s="84"/>
    </row>
    <row r="2703" spans="187:190" s="2" customFormat="1" ht="18" customHeight="1" x14ac:dyDescent="0.2">
      <c r="GE2703" s="84"/>
      <c r="GF2703" s="84"/>
      <c r="GG2703" s="84"/>
      <c r="GH2703" s="84"/>
    </row>
    <row r="2704" spans="187:190" s="2" customFormat="1" ht="18" customHeight="1" x14ac:dyDescent="0.2">
      <c r="GE2704" s="84"/>
      <c r="GF2704" s="84"/>
      <c r="GG2704" s="84"/>
      <c r="GH2704" s="84"/>
    </row>
    <row r="2705" spans="187:190" s="2" customFormat="1" ht="18" customHeight="1" x14ac:dyDescent="0.2">
      <c r="GE2705" s="84"/>
      <c r="GF2705" s="84"/>
      <c r="GG2705" s="84"/>
      <c r="GH2705" s="84"/>
    </row>
    <row r="2706" spans="187:190" s="2" customFormat="1" ht="18" customHeight="1" x14ac:dyDescent="0.2">
      <c r="GE2706" s="84"/>
      <c r="GF2706" s="84"/>
      <c r="GG2706" s="84"/>
      <c r="GH2706" s="84"/>
    </row>
    <row r="2707" spans="187:190" s="2" customFormat="1" ht="18" customHeight="1" x14ac:dyDescent="0.2">
      <c r="GE2707" s="84"/>
      <c r="GF2707" s="84"/>
      <c r="GG2707" s="84"/>
      <c r="GH2707" s="84"/>
    </row>
    <row r="2708" spans="187:190" s="2" customFormat="1" ht="18" customHeight="1" x14ac:dyDescent="0.2">
      <c r="GE2708" s="84"/>
      <c r="GF2708" s="84"/>
      <c r="GG2708" s="84"/>
      <c r="GH2708" s="84"/>
    </row>
    <row r="2709" spans="187:190" s="2" customFormat="1" ht="18" customHeight="1" x14ac:dyDescent="0.2">
      <c r="GE2709" s="84"/>
      <c r="GF2709" s="84"/>
      <c r="GG2709" s="84"/>
      <c r="GH2709" s="84"/>
    </row>
    <row r="2710" spans="187:190" s="2" customFormat="1" ht="18" customHeight="1" x14ac:dyDescent="0.2">
      <c r="GE2710" s="84"/>
      <c r="GF2710" s="84"/>
      <c r="GG2710" s="84"/>
      <c r="GH2710" s="84"/>
    </row>
    <row r="2711" spans="187:190" s="2" customFormat="1" ht="18" customHeight="1" x14ac:dyDescent="0.2">
      <c r="GE2711" s="84"/>
      <c r="GF2711" s="84"/>
      <c r="GG2711" s="84"/>
      <c r="GH2711" s="84"/>
    </row>
    <row r="2712" spans="187:190" s="2" customFormat="1" ht="18" customHeight="1" x14ac:dyDescent="0.2">
      <c r="GE2712" s="84"/>
      <c r="GF2712" s="84"/>
      <c r="GG2712" s="84"/>
      <c r="GH2712" s="84"/>
    </row>
    <row r="2713" spans="187:190" s="2" customFormat="1" ht="18" customHeight="1" x14ac:dyDescent="0.2">
      <c r="GE2713" s="84"/>
      <c r="GF2713" s="84"/>
      <c r="GG2713" s="84"/>
      <c r="GH2713" s="84"/>
    </row>
    <row r="2714" spans="187:190" s="2" customFormat="1" ht="18" customHeight="1" x14ac:dyDescent="0.2">
      <c r="GE2714" s="84"/>
      <c r="GF2714" s="84"/>
      <c r="GG2714" s="84"/>
      <c r="GH2714" s="84"/>
    </row>
    <row r="2715" spans="187:190" s="2" customFormat="1" ht="18" customHeight="1" x14ac:dyDescent="0.2">
      <c r="GE2715" s="84"/>
      <c r="GF2715" s="84"/>
      <c r="GG2715" s="84"/>
      <c r="GH2715" s="84"/>
    </row>
    <row r="2716" spans="187:190" s="2" customFormat="1" ht="18" customHeight="1" x14ac:dyDescent="0.2">
      <c r="GE2716" s="84"/>
      <c r="GF2716" s="84"/>
      <c r="GG2716" s="84"/>
      <c r="GH2716" s="84"/>
    </row>
    <row r="2717" spans="187:190" s="2" customFormat="1" ht="18" customHeight="1" x14ac:dyDescent="0.2">
      <c r="GE2717" s="84"/>
      <c r="GF2717" s="84"/>
      <c r="GG2717" s="84"/>
      <c r="GH2717" s="84"/>
    </row>
    <row r="2718" spans="187:190" s="2" customFormat="1" ht="18" customHeight="1" x14ac:dyDescent="0.2">
      <c r="GE2718" s="84"/>
      <c r="GF2718" s="84"/>
      <c r="GG2718" s="84"/>
      <c r="GH2718" s="84"/>
    </row>
    <row r="2719" spans="187:190" s="2" customFormat="1" ht="18" customHeight="1" x14ac:dyDescent="0.2">
      <c r="GE2719" s="84"/>
      <c r="GF2719" s="84"/>
      <c r="GG2719" s="84"/>
      <c r="GH2719" s="84"/>
    </row>
    <row r="2720" spans="187:190" s="2" customFormat="1" ht="18" customHeight="1" x14ac:dyDescent="0.2">
      <c r="GE2720" s="84"/>
      <c r="GF2720" s="84"/>
      <c r="GG2720" s="84"/>
      <c r="GH2720" s="84"/>
    </row>
    <row r="2721" spans="187:190" s="2" customFormat="1" ht="18" customHeight="1" x14ac:dyDescent="0.2">
      <c r="GE2721" s="84"/>
      <c r="GF2721" s="84"/>
      <c r="GG2721" s="84"/>
      <c r="GH2721" s="84"/>
    </row>
    <row r="2722" spans="187:190" s="2" customFormat="1" ht="18" customHeight="1" x14ac:dyDescent="0.2">
      <c r="GE2722" s="84"/>
      <c r="GF2722" s="84"/>
      <c r="GG2722" s="84"/>
      <c r="GH2722" s="84"/>
    </row>
    <row r="2723" spans="187:190" s="2" customFormat="1" ht="18" customHeight="1" x14ac:dyDescent="0.2">
      <c r="GE2723" s="84"/>
      <c r="GF2723" s="84"/>
      <c r="GG2723" s="84"/>
      <c r="GH2723" s="84"/>
    </row>
    <row r="2724" spans="187:190" s="2" customFormat="1" ht="18" customHeight="1" x14ac:dyDescent="0.2">
      <c r="GE2724" s="84"/>
      <c r="GF2724" s="84"/>
      <c r="GG2724" s="84"/>
      <c r="GH2724" s="84"/>
    </row>
    <row r="2725" spans="187:190" s="2" customFormat="1" ht="18" customHeight="1" x14ac:dyDescent="0.2">
      <c r="GE2725" s="84"/>
      <c r="GF2725" s="84"/>
      <c r="GG2725" s="84"/>
      <c r="GH2725" s="84"/>
    </row>
    <row r="2726" spans="187:190" s="2" customFormat="1" ht="18" customHeight="1" x14ac:dyDescent="0.2">
      <c r="GE2726" s="84"/>
      <c r="GF2726" s="84"/>
      <c r="GG2726" s="84"/>
      <c r="GH2726" s="84"/>
    </row>
    <row r="2727" spans="187:190" s="2" customFormat="1" ht="18" customHeight="1" x14ac:dyDescent="0.2">
      <c r="GE2727" s="84"/>
      <c r="GF2727" s="84"/>
      <c r="GG2727" s="84"/>
      <c r="GH2727" s="84"/>
    </row>
    <row r="2728" spans="187:190" s="2" customFormat="1" ht="18" customHeight="1" x14ac:dyDescent="0.2">
      <c r="GE2728" s="84"/>
      <c r="GF2728" s="84"/>
      <c r="GG2728" s="84"/>
      <c r="GH2728" s="84"/>
    </row>
    <row r="2729" spans="187:190" s="2" customFormat="1" ht="18" customHeight="1" x14ac:dyDescent="0.2">
      <c r="GE2729" s="84"/>
      <c r="GF2729" s="84"/>
      <c r="GG2729" s="84"/>
      <c r="GH2729" s="84"/>
    </row>
    <row r="2730" spans="187:190" s="2" customFormat="1" ht="18" customHeight="1" x14ac:dyDescent="0.2">
      <c r="GE2730" s="84"/>
      <c r="GF2730" s="84"/>
      <c r="GG2730" s="84"/>
      <c r="GH2730" s="84"/>
    </row>
    <row r="2731" spans="187:190" s="2" customFormat="1" ht="18" customHeight="1" x14ac:dyDescent="0.2">
      <c r="GE2731" s="84"/>
      <c r="GF2731" s="84"/>
      <c r="GG2731" s="84"/>
      <c r="GH2731" s="84"/>
    </row>
    <row r="2732" spans="187:190" s="2" customFormat="1" ht="18" customHeight="1" x14ac:dyDescent="0.2">
      <c r="GE2732" s="84"/>
      <c r="GF2732" s="84"/>
      <c r="GG2732" s="84"/>
      <c r="GH2732" s="84"/>
    </row>
    <row r="2733" spans="187:190" s="2" customFormat="1" ht="18" customHeight="1" x14ac:dyDescent="0.2">
      <c r="GE2733" s="84"/>
      <c r="GF2733" s="84"/>
      <c r="GG2733" s="84"/>
      <c r="GH2733" s="84"/>
    </row>
    <row r="2734" spans="187:190" s="2" customFormat="1" ht="18" customHeight="1" x14ac:dyDescent="0.2">
      <c r="GE2734" s="84"/>
      <c r="GF2734" s="84"/>
      <c r="GG2734" s="84"/>
      <c r="GH2734" s="84"/>
    </row>
    <row r="2735" spans="187:190" s="2" customFormat="1" ht="18" customHeight="1" x14ac:dyDescent="0.2">
      <c r="GE2735" s="84"/>
      <c r="GF2735" s="84"/>
      <c r="GG2735" s="84"/>
      <c r="GH2735" s="84"/>
    </row>
    <row r="2736" spans="187:190" s="2" customFormat="1" ht="18" customHeight="1" x14ac:dyDescent="0.2">
      <c r="GE2736" s="84"/>
      <c r="GF2736" s="84"/>
      <c r="GG2736" s="84"/>
      <c r="GH2736" s="84"/>
    </row>
    <row r="2737" spans="187:190" s="2" customFormat="1" ht="18" customHeight="1" x14ac:dyDescent="0.2">
      <c r="GE2737" s="84"/>
      <c r="GF2737" s="84"/>
      <c r="GG2737" s="84"/>
      <c r="GH2737" s="84"/>
    </row>
    <row r="2738" spans="187:190" s="2" customFormat="1" ht="18" customHeight="1" x14ac:dyDescent="0.2">
      <c r="GE2738" s="84"/>
      <c r="GF2738" s="84"/>
      <c r="GG2738" s="84"/>
      <c r="GH2738" s="84"/>
    </row>
    <row r="2739" spans="187:190" s="2" customFormat="1" ht="18" customHeight="1" x14ac:dyDescent="0.2">
      <c r="GE2739" s="84"/>
      <c r="GF2739" s="84"/>
      <c r="GG2739" s="84"/>
      <c r="GH2739" s="84"/>
    </row>
    <row r="2740" spans="187:190" s="2" customFormat="1" ht="18" customHeight="1" x14ac:dyDescent="0.2">
      <c r="GE2740" s="84"/>
      <c r="GF2740" s="84"/>
      <c r="GG2740" s="84"/>
      <c r="GH2740" s="84"/>
    </row>
    <row r="2741" spans="187:190" s="2" customFormat="1" ht="18" customHeight="1" x14ac:dyDescent="0.2">
      <c r="GE2741" s="84"/>
      <c r="GF2741" s="84"/>
      <c r="GG2741" s="84"/>
      <c r="GH2741" s="84"/>
    </row>
    <row r="2742" spans="187:190" s="2" customFormat="1" ht="18" customHeight="1" x14ac:dyDescent="0.2">
      <c r="GE2742" s="84"/>
      <c r="GF2742" s="84"/>
      <c r="GG2742" s="84"/>
      <c r="GH2742" s="84"/>
    </row>
    <row r="2743" spans="187:190" s="2" customFormat="1" ht="18" customHeight="1" x14ac:dyDescent="0.2">
      <c r="GE2743" s="84"/>
      <c r="GF2743" s="84"/>
      <c r="GG2743" s="84"/>
      <c r="GH2743" s="84"/>
    </row>
    <row r="2744" spans="187:190" s="2" customFormat="1" ht="18" customHeight="1" x14ac:dyDescent="0.2">
      <c r="GE2744" s="84"/>
      <c r="GF2744" s="84"/>
      <c r="GG2744" s="84"/>
      <c r="GH2744" s="84"/>
    </row>
    <row r="2745" spans="187:190" s="2" customFormat="1" ht="18" customHeight="1" x14ac:dyDescent="0.2">
      <c r="GE2745" s="84"/>
      <c r="GF2745" s="84"/>
      <c r="GG2745" s="84"/>
      <c r="GH2745" s="84"/>
    </row>
    <row r="2746" spans="187:190" s="2" customFormat="1" ht="18" customHeight="1" x14ac:dyDescent="0.2">
      <c r="GE2746" s="84"/>
      <c r="GF2746" s="84"/>
      <c r="GG2746" s="84"/>
      <c r="GH2746" s="84"/>
    </row>
    <row r="2747" spans="187:190" s="2" customFormat="1" ht="18" customHeight="1" x14ac:dyDescent="0.2">
      <c r="GE2747" s="84"/>
      <c r="GF2747" s="84"/>
      <c r="GG2747" s="84"/>
      <c r="GH2747" s="84"/>
    </row>
    <row r="2748" spans="187:190" s="2" customFormat="1" ht="18" customHeight="1" x14ac:dyDescent="0.2">
      <c r="GE2748" s="84"/>
      <c r="GF2748" s="84"/>
      <c r="GG2748" s="84"/>
      <c r="GH2748" s="84"/>
    </row>
    <row r="2749" spans="187:190" s="2" customFormat="1" ht="18" customHeight="1" x14ac:dyDescent="0.2">
      <c r="GE2749" s="84"/>
      <c r="GF2749" s="84"/>
      <c r="GG2749" s="84"/>
      <c r="GH2749" s="84"/>
    </row>
    <row r="2750" spans="187:190" s="2" customFormat="1" ht="18" customHeight="1" x14ac:dyDescent="0.2">
      <c r="GE2750" s="84"/>
      <c r="GF2750" s="84"/>
      <c r="GG2750" s="84"/>
      <c r="GH2750" s="84"/>
    </row>
    <row r="2751" spans="187:190" s="2" customFormat="1" ht="18" customHeight="1" x14ac:dyDescent="0.2">
      <c r="GE2751" s="84"/>
      <c r="GF2751" s="84"/>
      <c r="GG2751" s="84"/>
      <c r="GH2751" s="84"/>
    </row>
    <row r="2752" spans="187:190" s="2" customFormat="1" ht="18" customHeight="1" x14ac:dyDescent="0.2">
      <c r="GE2752" s="84"/>
      <c r="GF2752" s="84"/>
      <c r="GG2752" s="84"/>
      <c r="GH2752" s="84"/>
    </row>
    <row r="2753" spans="187:190" s="2" customFormat="1" ht="18" customHeight="1" x14ac:dyDescent="0.2">
      <c r="GE2753" s="84"/>
      <c r="GF2753" s="84"/>
      <c r="GG2753" s="84"/>
      <c r="GH2753" s="84"/>
    </row>
    <row r="2754" spans="187:190" s="2" customFormat="1" ht="18" customHeight="1" x14ac:dyDescent="0.2">
      <c r="GE2754" s="84"/>
      <c r="GF2754" s="84"/>
      <c r="GG2754" s="84"/>
      <c r="GH2754" s="84"/>
    </row>
    <row r="2755" spans="187:190" s="2" customFormat="1" ht="18" customHeight="1" x14ac:dyDescent="0.2">
      <c r="GE2755" s="84"/>
      <c r="GF2755" s="84"/>
      <c r="GG2755" s="84"/>
      <c r="GH2755" s="84"/>
    </row>
    <row r="2756" spans="187:190" s="2" customFormat="1" ht="18" customHeight="1" x14ac:dyDescent="0.2">
      <c r="GE2756" s="84"/>
      <c r="GF2756" s="84"/>
      <c r="GG2756" s="84"/>
      <c r="GH2756" s="84"/>
    </row>
    <row r="2757" spans="187:190" s="2" customFormat="1" ht="18" customHeight="1" x14ac:dyDescent="0.2">
      <c r="GE2757" s="84"/>
      <c r="GF2757" s="84"/>
      <c r="GG2757" s="84"/>
      <c r="GH2757" s="84"/>
    </row>
    <row r="2758" spans="187:190" s="2" customFormat="1" ht="18" customHeight="1" x14ac:dyDescent="0.2">
      <c r="GE2758" s="84"/>
      <c r="GF2758" s="84"/>
      <c r="GG2758" s="84"/>
      <c r="GH2758" s="84"/>
    </row>
    <row r="2759" spans="187:190" s="2" customFormat="1" ht="18" customHeight="1" x14ac:dyDescent="0.2">
      <c r="GE2759" s="84"/>
      <c r="GF2759" s="84"/>
      <c r="GG2759" s="84"/>
      <c r="GH2759" s="84"/>
    </row>
    <row r="2760" spans="187:190" s="2" customFormat="1" ht="18" customHeight="1" x14ac:dyDescent="0.2">
      <c r="GE2760" s="84"/>
      <c r="GF2760" s="84"/>
      <c r="GG2760" s="84"/>
      <c r="GH2760" s="84"/>
    </row>
    <row r="2761" spans="187:190" s="2" customFormat="1" ht="18" customHeight="1" x14ac:dyDescent="0.2">
      <c r="GE2761" s="84"/>
      <c r="GF2761" s="84"/>
      <c r="GG2761" s="84"/>
      <c r="GH2761" s="84"/>
    </row>
    <row r="2762" spans="187:190" s="2" customFormat="1" ht="18" customHeight="1" x14ac:dyDescent="0.2">
      <c r="GE2762" s="84"/>
      <c r="GF2762" s="84"/>
      <c r="GG2762" s="84"/>
      <c r="GH2762" s="84"/>
    </row>
    <row r="2763" spans="187:190" s="2" customFormat="1" ht="18" customHeight="1" x14ac:dyDescent="0.2">
      <c r="GE2763" s="84"/>
      <c r="GF2763" s="84"/>
      <c r="GG2763" s="84"/>
      <c r="GH2763" s="84"/>
    </row>
    <row r="2764" spans="187:190" s="2" customFormat="1" ht="18" customHeight="1" x14ac:dyDescent="0.2">
      <c r="GE2764" s="84"/>
      <c r="GF2764" s="84"/>
      <c r="GG2764" s="84"/>
      <c r="GH2764" s="84"/>
    </row>
    <row r="2765" spans="187:190" s="2" customFormat="1" ht="18" customHeight="1" x14ac:dyDescent="0.2">
      <c r="GE2765" s="84"/>
      <c r="GF2765" s="84"/>
      <c r="GG2765" s="84"/>
      <c r="GH2765" s="84"/>
    </row>
    <row r="2766" spans="187:190" s="2" customFormat="1" ht="18" customHeight="1" x14ac:dyDescent="0.2">
      <c r="GE2766" s="84"/>
      <c r="GF2766" s="84"/>
      <c r="GG2766" s="84"/>
      <c r="GH2766" s="84"/>
    </row>
    <row r="2767" spans="187:190" s="2" customFormat="1" ht="18" customHeight="1" x14ac:dyDescent="0.2">
      <c r="GE2767" s="84"/>
      <c r="GF2767" s="84"/>
      <c r="GG2767" s="84"/>
      <c r="GH2767" s="84"/>
    </row>
    <row r="2768" spans="187:190" s="2" customFormat="1" ht="18" customHeight="1" x14ac:dyDescent="0.2">
      <c r="GE2768" s="84"/>
      <c r="GF2768" s="84"/>
      <c r="GG2768" s="84"/>
      <c r="GH2768" s="84"/>
    </row>
    <row r="2769" spans="187:190" s="2" customFormat="1" ht="18" customHeight="1" x14ac:dyDescent="0.2">
      <c r="GE2769" s="84"/>
      <c r="GF2769" s="84"/>
      <c r="GG2769" s="84"/>
      <c r="GH2769" s="84"/>
    </row>
    <row r="2770" spans="187:190" s="2" customFormat="1" ht="18" customHeight="1" x14ac:dyDescent="0.2">
      <c r="GE2770" s="84"/>
      <c r="GF2770" s="84"/>
      <c r="GG2770" s="84"/>
      <c r="GH2770" s="84"/>
    </row>
    <row r="2771" spans="187:190" s="2" customFormat="1" ht="18" customHeight="1" x14ac:dyDescent="0.2">
      <c r="GE2771" s="84"/>
      <c r="GF2771" s="84"/>
      <c r="GG2771" s="84"/>
      <c r="GH2771" s="84"/>
    </row>
    <row r="2772" spans="187:190" s="2" customFormat="1" ht="18" customHeight="1" x14ac:dyDescent="0.2">
      <c r="GE2772" s="84"/>
      <c r="GF2772" s="84"/>
      <c r="GG2772" s="84"/>
      <c r="GH2772" s="84"/>
    </row>
    <row r="2773" spans="187:190" s="2" customFormat="1" ht="18" customHeight="1" x14ac:dyDescent="0.2">
      <c r="GE2773" s="84"/>
      <c r="GF2773" s="84"/>
      <c r="GG2773" s="84"/>
      <c r="GH2773" s="84"/>
    </row>
    <row r="2774" spans="187:190" s="2" customFormat="1" ht="18" customHeight="1" x14ac:dyDescent="0.2">
      <c r="GE2774" s="84"/>
      <c r="GF2774" s="84"/>
      <c r="GG2774" s="84"/>
      <c r="GH2774" s="84"/>
    </row>
    <row r="2775" spans="187:190" s="2" customFormat="1" ht="18" customHeight="1" x14ac:dyDescent="0.2">
      <c r="GE2775" s="84"/>
      <c r="GF2775" s="84"/>
      <c r="GG2775" s="84"/>
      <c r="GH2775" s="84"/>
    </row>
    <row r="2776" spans="187:190" s="2" customFormat="1" ht="18" customHeight="1" x14ac:dyDescent="0.2">
      <c r="GE2776" s="84"/>
      <c r="GF2776" s="84"/>
      <c r="GG2776" s="84"/>
      <c r="GH2776" s="84"/>
    </row>
    <row r="2777" spans="187:190" s="2" customFormat="1" ht="18" customHeight="1" x14ac:dyDescent="0.2">
      <c r="GE2777" s="84"/>
      <c r="GF2777" s="84"/>
      <c r="GG2777" s="84"/>
      <c r="GH2777" s="84"/>
    </row>
    <row r="2778" spans="187:190" s="2" customFormat="1" ht="18" customHeight="1" x14ac:dyDescent="0.2">
      <c r="GE2778" s="84"/>
      <c r="GF2778" s="84"/>
      <c r="GG2778" s="84"/>
      <c r="GH2778" s="84"/>
    </row>
    <row r="2779" spans="187:190" s="2" customFormat="1" ht="18" customHeight="1" x14ac:dyDescent="0.2">
      <c r="GE2779" s="84"/>
      <c r="GF2779" s="84"/>
      <c r="GG2779" s="84"/>
      <c r="GH2779" s="84"/>
    </row>
    <row r="2780" spans="187:190" s="2" customFormat="1" ht="18" customHeight="1" x14ac:dyDescent="0.2">
      <c r="GE2780" s="84"/>
      <c r="GF2780" s="84"/>
      <c r="GG2780" s="84"/>
      <c r="GH2780" s="84"/>
    </row>
    <row r="2781" spans="187:190" s="2" customFormat="1" ht="18" customHeight="1" x14ac:dyDescent="0.2">
      <c r="GE2781" s="84"/>
      <c r="GF2781" s="84"/>
      <c r="GG2781" s="84"/>
      <c r="GH2781" s="84"/>
    </row>
    <row r="2782" spans="187:190" s="2" customFormat="1" ht="18" customHeight="1" x14ac:dyDescent="0.2">
      <c r="GE2782" s="84"/>
      <c r="GF2782" s="84"/>
      <c r="GG2782" s="84"/>
      <c r="GH2782" s="84"/>
    </row>
    <row r="2783" spans="187:190" s="2" customFormat="1" ht="18" customHeight="1" x14ac:dyDescent="0.2">
      <c r="GE2783" s="84"/>
      <c r="GF2783" s="84"/>
      <c r="GG2783" s="84"/>
      <c r="GH2783" s="84"/>
    </row>
    <row r="2784" spans="187:190" s="2" customFormat="1" ht="18" customHeight="1" x14ac:dyDescent="0.2">
      <c r="GE2784" s="84"/>
      <c r="GF2784" s="84"/>
      <c r="GG2784" s="84"/>
      <c r="GH2784" s="84"/>
    </row>
    <row r="2785" spans="187:190" s="2" customFormat="1" ht="18" customHeight="1" x14ac:dyDescent="0.2">
      <c r="GE2785" s="84"/>
      <c r="GF2785" s="84"/>
      <c r="GG2785" s="84"/>
      <c r="GH2785" s="84"/>
    </row>
    <row r="2786" spans="187:190" s="2" customFormat="1" ht="18" customHeight="1" x14ac:dyDescent="0.2">
      <c r="GE2786" s="84"/>
      <c r="GF2786" s="84"/>
      <c r="GG2786" s="84"/>
      <c r="GH2786" s="84"/>
    </row>
    <row r="2787" spans="187:190" s="2" customFormat="1" ht="18" customHeight="1" x14ac:dyDescent="0.2">
      <c r="GE2787" s="84"/>
      <c r="GF2787" s="84"/>
      <c r="GG2787" s="84"/>
      <c r="GH2787" s="84"/>
    </row>
    <row r="2788" spans="187:190" s="2" customFormat="1" ht="18" customHeight="1" x14ac:dyDescent="0.2">
      <c r="GE2788" s="84"/>
      <c r="GF2788" s="84"/>
      <c r="GG2788" s="84"/>
      <c r="GH2788" s="84"/>
    </row>
    <row r="2789" spans="187:190" s="2" customFormat="1" ht="18" customHeight="1" x14ac:dyDescent="0.2">
      <c r="GE2789" s="84"/>
      <c r="GF2789" s="84"/>
      <c r="GG2789" s="84"/>
      <c r="GH2789" s="84"/>
    </row>
    <row r="2790" spans="187:190" s="2" customFormat="1" ht="18" customHeight="1" x14ac:dyDescent="0.2">
      <c r="GE2790" s="84"/>
      <c r="GF2790" s="84"/>
      <c r="GG2790" s="84"/>
      <c r="GH2790" s="84"/>
    </row>
    <row r="2791" spans="187:190" s="2" customFormat="1" ht="18" customHeight="1" x14ac:dyDescent="0.2">
      <c r="GE2791" s="84"/>
      <c r="GF2791" s="84"/>
      <c r="GG2791" s="84"/>
      <c r="GH2791" s="84"/>
    </row>
    <row r="2792" spans="187:190" s="2" customFormat="1" ht="18" customHeight="1" x14ac:dyDescent="0.2">
      <c r="GE2792" s="84"/>
      <c r="GF2792" s="84"/>
      <c r="GG2792" s="84"/>
      <c r="GH2792" s="84"/>
    </row>
    <row r="2793" spans="187:190" s="2" customFormat="1" ht="18" customHeight="1" x14ac:dyDescent="0.2">
      <c r="GE2793" s="84"/>
      <c r="GF2793" s="84"/>
      <c r="GG2793" s="84"/>
      <c r="GH2793" s="84"/>
    </row>
    <row r="2794" spans="187:190" s="2" customFormat="1" ht="18" customHeight="1" x14ac:dyDescent="0.2">
      <c r="GE2794" s="84"/>
      <c r="GF2794" s="84"/>
      <c r="GG2794" s="84"/>
      <c r="GH2794" s="84"/>
    </row>
    <row r="2795" spans="187:190" s="2" customFormat="1" ht="18" customHeight="1" x14ac:dyDescent="0.2">
      <c r="GE2795" s="84"/>
      <c r="GF2795" s="84"/>
      <c r="GG2795" s="84"/>
      <c r="GH2795" s="84"/>
    </row>
    <row r="2796" spans="187:190" s="2" customFormat="1" ht="18" customHeight="1" x14ac:dyDescent="0.2">
      <c r="GE2796" s="84"/>
      <c r="GF2796" s="84"/>
      <c r="GG2796" s="84"/>
      <c r="GH2796" s="84"/>
    </row>
    <row r="2797" spans="187:190" s="2" customFormat="1" ht="18" customHeight="1" x14ac:dyDescent="0.2">
      <c r="GE2797" s="84"/>
      <c r="GF2797" s="84"/>
      <c r="GG2797" s="84"/>
      <c r="GH2797" s="84"/>
    </row>
    <row r="2798" spans="187:190" s="2" customFormat="1" ht="18" customHeight="1" x14ac:dyDescent="0.2">
      <c r="GE2798" s="84"/>
      <c r="GF2798" s="84"/>
      <c r="GG2798" s="84"/>
      <c r="GH2798" s="84"/>
    </row>
    <row r="2799" spans="187:190" s="2" customFormat="1" ht="18" customHeight="1" x14ac:dyDescent="0.2">
      <c r="GE2799" s="84"/>
      <c r="GF2799" s="84"/>
      <c r="GG2799" s="84"/>
      <c r="GH2799" s="84"/>
    </row>
    <row r="2800" spans="187:190" s="2" customFormat="1" ht="18" customHeight="1" x14ac:dyDescent="0.2">
      <c r="GE2800" s="84"/>
      <c r="GF2800" s="84"/>
      <c r="GG2800" s="84"/>
      <c r="GH2800" s="84"/>
    </row>
    <row r="2801" spans="187:190" s="2" customFormat="1" ht="18" customHeight="1" x14ac:dyDescent="0.2">
      <c r="GE2801" s="84"/>
      <c r="GF2801" s="84"/>
      <c r="GG2801" s="84"/>
      <c r="GH2801" s="84"/>
    </row>
    <row r="2802" spans="187:190" s="2" customFormat="1" ht="18" customHeight="1" x14ac:dyDescent="0.2">
      <c r="GE2802" s="84"/>
      <c r="GF2802" s="84"/>
      <c r="GG2802" s="84"/>
      <c r="GH2802" s="84"/>
    </row>
    <row r="2803" spans="187:190" s="2" customFormat="1" ht="18" customHeight="1" x14ac:dyDescent="0.2">
      <c r="GE2803" s="84"/>
      <c r="GF2803" s="84"/>
      <c r="GG2803" s="84"/>
      <c r="GH2803" s="84"/>
    </row>
    <row r="2804" spans="187:190" s="2" customFormat="1" ht="18" customHeight="1" x14ac:dyDescent="0.2">
      <c r="GE2804" s="84"/>
      <c r="GF2804" s="84"/>
      <c r="GG2804" s="84"/>
      <c r="GH2804" s="84"/>
    </row>
    <row r="2805" spans="187:190" s="2" customFormat="1" ht="18" customHeight="1" x14ac:dyDescent="0.2">
      <c r="GE2805" s="84"/>
      <c r="GF2805" s="84"/>
      <c r="GG2805" s="84"/>
      <c r="GH2805" s="84"/>
    </row>
    <row r="2806" spans="187:190" s="2" customFormat="1" ht="18" customHeight="1" x14ac:dyDescent="0.2">
      <c r="GE2806" s="84"/>
      <c r="GF2806" s="84"/>
      <c r="GG2806" s="84"/>
      <c r="GH2806" s="84"/>
    </row>
    <row r="2807" spans="187:190" s="2" customFormat="1" ht="18" customHeight="1" x14ac:dyDescent="0.2">
      <c r="GE2807" s="84"/>
      <c r="GF2807" s="84"/>
      <c r="GG2807" s="84"/>
      <c r="GH2807" s="84"/>
    </row>
    <row r="2808" spans="187:190" s="2" customFormat="1" ht="18" customHeight="1" x14ac:dyDescent="0.2">
      <c r="GE2808" s="84"/>
      <c r="GF2808" s="84"/>
      <c r="GG2808" s="84"/>
      <c r="GH2808" s="84"/>
    </row>
    <row r="2809" spans="187:190" s="2" customFormat="1" ht="18" customHeight="1" x14ac:dyDescent="0.2">
      <c r="GE2809" s="84"/>
      <c r="GF2809" s="84"/>
      <c r="GG2809" s="84"/>
      <c r="GH2809" s="84"/>
    </row>
    <row r="2810" spans="187:190" s="2" customFormat="1" ht="18" customHeight="1" x14ac:dyDescent="0.2">
      <c r="GE2810" s="84"/>
      <c r="GF2810" s="84"/>
      <c r="GG2810" s="84"/>
      <c r="GH2810" s="84"/>
    </row>
    <row r="2811" spans="187:190" s="2" customFormat="1" ht="18" customHeight="1" x14ac:dyDescent="0.2">
      <c r="GE2811" s="84"/>
      <c r="GF2811" s="84"/>
      <c r="GG2811" s="84"/>
      <c r="GH2811" s="84"/>
    </row>
    <row r="2812" spans="187:190" s="2" customFormat="1" ht="18" customHeight="1" x14ac:dyDescent="0.2">
      <c r="GE2812" s="84"/>
      <c r="GF2812" s="84"/>
      <c r="GG2812" s="84"/>
      <c r="GH2812" s="84"/>
    </row>
    <row r="2813" spans="187:190" s="2" customFormat="1" ht="18" customHeight="1" x14ac:dyDescent="0.2">
      <c r="GE2813" s="84"/>
      <c r="GF2813" s="84"/>
      <c r="GG2813" s="84"/>
      <c r="GH2813" s="84"/>
    </row>
    <row r="2814" spans="187:190" s="2" customFormat="1" ht="18" customHeight="1" x14ac:dyDescent="0.2">
      <c r="GE2814" s="84"/>
      <c r="GF2814" s="84"/>
      <c r="GG2814" s="84"/>
      <c r="GH2814" s="84"/>
    </row>
    <row r="2815" spans="187:190" s="2" customFormat="1" ht="18" customHeight="1" x14ac:dyDescent="0.2">
      <c r="GE2815" s="84"/>
      <c r="GF2815" s="84"/>
      <c r="GG2815" s="84"/>
      <c r="GH2815" s="84"/>
    </row>
    <row r="2816" spans="187:190" s="2" customFormat="1" ht="18" customHeight="1" x14ac:dyDescent="0.2">
      <c r="GE2816" s="84"/>
      <c r="GF2816" s="84"/>
      <c r="GG2816" s="84"/>
      <c r="GH2816" s="84"/>
    </row>
    <row r="2817" spans="187:190" s="2" customFormat="1" ht="18" customHeight="1" x14ac:dyDescent="0.2">
      <c r="GE2817" s="84"/>
      <c r="GF2817" s="84"/>
      <c r="GG2817" s="84"/>
      <c r="GH2817" s="84"/>
    </row>
    <row r="2818" spans="187:190" s="2" customFormat="1" ht="18" customHeight="1" x14ac:dyDescent="0.2">
      <c r="GE2818" s="84"/>
      <c r="GF2818" s="84"/>
      <c r="GG2818" s="84"/>
      <c r="GH2818" s="84"/>
    </row>
    <row r="2819" spans="187:190" s="2" customFormat="1" ht="18" customHeight="1" x14ac:dyDescent="0.2">
      <c r="GE2819" s="84"/>
      <c r="GF2819" s="84"/>
      <c r="GG2819" s="84"/>
      <c r="GH2819" s="84"/>
    </row>
    <row r="2820" spans="187:190" s="2" customFormat="1" ht="18" customHeight="1" x14ac:dyDescent="0.2">
      <c r="GE2820" s="84"/>
      <c r="GF2820" s="84"/>
      <c r="GG2820" s="84"/>
      <c r="GH2820" s="84"/>
    </row>
    <row r="2821" spans="187:190" s="2" customFormat="1" ht="18" customHeight="1" x14ac:dyDescent="0.2">
      <c r="GE2821" s="84"/>
      <c r="GF2821" s="84"/>
      <c r="GG2821" s="84"/>
      <c r="GH2821" s="84"/>
    </row>
    <row r="2822" spans="187:190" s="2" customFormat="1" ht="18" customHeight="1" x14ac:dyDescent="0.2">
      <c r="GE2822" s="84"/>
      <c r="GF2822" s="84"/>
      <c r="GG2822" s="84"/>
      <c r="GH2822" s="84"/>
    </row>
    <row r="2823" spans="187:190" s="2" customFormat="1" ht="18" customHeight="1" x14ac:dyDescent="0.2">
      <c r="GE2823" s="84"/>
      <c r="GF2823" s="84"/>
      <c r="GG2823" s="84"/>
      <c r="GH2823" s="84"/>
    </row>
    <row r="2824" spans="187:190" s="2" customFormat="1" ht="18" customHeight="1" x14ac:dyDescent="0.2">
      <c r="GE2824" s="84"/>
      <c r="GF2824" s="84"/>
      <c r="GG2824" s="84"/>
      <c r="GH2824" s="84"/>
    </row>
    <row r="2825" spans="187:190" s="2" customFormat="1" ht="18" customHeight="1" x14ac:dyDescent="0.2">
      <c r="GE2825" s="84"/>
      <c r="GF2825" s="84"/>
      <c r="GG2825" s="84"/>
      <c r="GH2825" s="84"/>
    </row>
    <row r="2826" spans="187:190" s="2" customFormat="1" ht="18" customHeight="1" x14ac:dyDescent="0.2">
      <c r="GE2826" s="84"/>
      <c r="GF2826" s="84"/>
      <c r="GG2826" s="84"/>
      <c r="GH2826" s="84"/>
    </row>
    <row r="2827" spans="187:190" s="2" customFormat="1" ht="18" customHeight="1" x14ac:dyDescent="0.2">
      <c r="GE2827" s="84"/>
      <c r="GF2827" s="84"/>
      <c r="GG2827" s="84"/>
      <c r="GH2827" s="84"/>
    </row>
    <row r="2828" spans="187:190" s="2" customFormat="1" ht="18" customHeight="1" x14ac:dyDescent="0.2">
      <c r="GE2828" s="84"/>
      <c r="GF2828" s="84"/>
      <c r="GG2828" s="84"/>
      <c r="GH2828" s="84"/>
    </row>
    <row r="2829" spans="187:190" s="2" customFormat="1" ht="18" customHeight="1" x14ac:dyDescent="0.2">
      <c r="GE2829" s="84"/>
      <c r="GF2829" s="84"/>
      <c r="GG2829" s="84"/>
      <c r="GH2829" s="84"/>
    </row>
    <row r="2830" spans="187:190" s="2" customFormat="1" ht="18" customHeight="1" x14ac:dyDescent="0.2">
      <c r="GE2830" s="84"/>
      <c r="GF2830" s="84"/>
      <c r="GG2830" s="84"/>
      <c r="GH2830" s="84"/>
    </row>
    <row r="2831" spans="187:190" s="2" customFormat="1" ht="18" customHeight="1" x14ac:dyDescent="0.2">
      <c r="GE2831" s="84"/>
      <c r="GF2831" s="84"/>
      <c r="GG2831" s="84"/>
      <c r="GH2831" s="84"/>
    </row>
    <row r="2832" spans="187:190" s="2" customFormat="1" ht="18" customHeight="1" x14ac:dyDescent="0.2">
      <c r="GE2832" s="84"/>
      <c r="GF2832" s="84"/>
      <c r="GG2832" s="84"/>
      <c r="GH2832" s="84"/>
    </row>
    <row r="2833" spans="187:190" s="2" customFormat="1" ht="18" customHeight="1" x14ac:dyDescent="0.2">
      <c r="GE2833" s="84"/>
      <c r="GF2833" s="84"/>
      <c r="GG2833" s="84"/>
      <c r="GH2833" s="84"/>
    </row>
    <row r="2834" spans="187:190" s="2" customFormat="1" ht="18" customHeight="1" x14ac:dyDescent="0.2">
      <c r="GE2834" s="84"/>
      <c r="GF2834" s="84"/>
      <c r="GG2834" s="84"/>
      <c r="GH2834" s="84"/>
    </row>
    <row r="2835" spans="187:190" s="2" customFormat="1" ht="18" customHeight="1" x14ac:dyDescent="0.2">
      <c r="GE2835" s="84"/>
      <c r="GF2835" s="84"/>
      <c r="GG2835" s="84"/>
      <c r="GH2835" s="84"/>
    </row>
    <row r="2836" spans="187:190" s="2" customFormat="1" ht="18" customHeight="1" x14ac:dyDescent="0.2">
      <c r="GE2836" s="84"/>
      <c r="GF2836" s="84"/>
      <c r="GG2836" s="84"/>
      <c r="GH2836" s="84"/>
    </row>
    <row r="2837" spans="187:190" s="2" customFormat="1" ht="18" customHeight="1" x14ac:dyDescent="0.2">
      <c r="GE2837" s="84"/>
      <c r="GF2837" s="84"/>
      <c r="GG2837" s="84"/>
      <c r="GH2837" s="84"/>
    </row>
    <row r="2838" spans="187:190" s="2" customFormat="1" ht="18" customHeight="1" x14ac:dyDescent="0.2">
      <c r="GE2838" s="84"/>
      <c r="GF2838" s="84"/>
      <c r="GG2838" s="84"/>
      <c r="GH2838" s="84"/>
    </row>
    <row r="2839" spans="187:190" s="2" customFormat="1" ht="18" customHeight="1" x14ac:dyDescent="0.2">
      <c r="GE2839" s="84"/>
      <c r="GF2839" s="84"/>
      <c r="GG2839" s="84"/>
      <c r="GH2839" s="84"/>
    </row>
    <row r="2840" spans="187:190" s="2" customFormat="1" ht="18" customHeight="1" x14ac:dyDescent="0.2">
      <c r="GE2840" s="84"/>
      <c r="GF2840" s="84"/>
      <c r="GG2840" s="84"/>
      <c r="GH2840" s="84"/>
    </row>
    <row r="2841" spans="187:190" s="2" customFormat="1" ht="18" customHeight="1" x14ac:dyDescent="0.2">
      <c r="GE2841" s="84"/>
      <c r="GF2841" s="84"/>
      <c r="GG2841" s="84"/>
      <c r="GH2841" s="84"/>
    </row>
    <row r="2842" spans="187:190" s="2" customFormat="1" ht="18" customHeight="1" x14ac:dyDescent="0.2">
      <c r="GE2842" s="84"/>
      <c r="GF2842" s="84"/>
      <c r="GG2842" s="84"/>
      <c r="GH2842" s="84"/>
    </row>
    <row r="2843" spans="187:190" s="2" customFormat="1" ht="18" customHeight="1" x14ac:dyDescent="0.2">
      <c r="GE2843" s="84"/>
      <c r="GF2843" s="84"/>
      <c r="GG2843" s="84"/>
      <c r="GH2843" s="84"/>
    </row>
    <row r="2844" spans="187:190" s="2" customFormat="1" ht="18" customHeight="1" x14ac:dyDescent="0.2">
      <c r="GE2844" s="84"/>
      <c r="GF2844" s="84"/>
      <c r="GG2844" s="84"/>
      <c r="GH2844" s="84"/>
    </row>
    <row r="2845" spans="187:190" s="2" customFormat="1" ht="18" customHeight="1" x14ac:dyDescent="0.2">
      <c r="GE2845" s="84"/>
      <c r="GF2845" s="84"/>
      <c r="GG2845" s="84"/>
      <c r="GH2845" s="84"/>
    </row>
    <row r="2846" spans="187:190" s="2" customFormat="1" ht="18" customHeight="1" x14ac:dyDescent="0.2">
      <c r="GE2846" s="84"/>
      <c r="GF2846" s="84"/>
      <c r="GG2846" s="84"/>
      <c r="GH2846" s="84"/>
    </row>
    <row r="2847" spans="187:190" s="2" customFormat="1" ht="18" customHeight="1" x14ac:dyDescent="0.2">
      <c r="GE2847" s="84"/>
      <c r="GF2847" s="84"/>
      <c r="GG2847" s="84"/>
      <c r="GH2847" s="84"/>
    </row>
    <row r="2848" spans="187:190" s="2" customFormat="1" ht="18" customHeight="1" x14ac:dyDescent="0.2">
      <c r="GE2848" s="84"/>
      <c r="GF2848" s="84"/>
      <c r="GG2848" s="84"/>
      <c r="GH2848" s="84"/>
    </row>
    <row r="2849" spans="187:190" s="2" customFormat="1" ht="18" customHeight="1" x14ac:dyDescent="0.2">
      <c r="GE2849" s="84"/>
      <c r="GF2849" s="84"/>
      <c r="GG2849" s="84"/>
      <c r="GH2849" s="84"/>
    </row>
    <row r="2850" spans="187:190" s="2" customFormat="1" ht="18" customHeight="1" x14ac:dyDescent="0.2">
      <c r="GE2850" s="84"/>
      <c r="GF2850" s="84"/>
      <c r="GG2850" s="84"/>
      <c r="GH2850" s="84"/>
    </row>
    <row r="2851" spans="187:190" s="2" customFormat="1" ht="18" customHeight="1" x14ac:dyDescent="0.2">
      <c r="GE2851" s="84"/>
      <c r="GF2851" s="84"/>
      <c r="GG2851" s="84"/>
      <c r="GH2851" s="84"/>
    </row>
    <row r="2852" spans="187:190" s="2" customFormat="1" ht="18" customHeight="1" x14ac:dyDescent="0.2">
      <c r="GE2852" s="84"/>
      <c r="GF2852" s="84"/>
      <c r="GG2852" s="84"/>
      <c r="GH2852" s="84"/>
    </row>
    <row r="2853" spans="187:190" s="2" customFormat="1" ht="18" customHeight="1" x14ac:dyDescent="0.2">
      <c r="GE2853" s="84"/>
      <c r="GF2853" s="84"/>
      <c r="GG2853" s="84"/>
      <c r="GH2853" s="84"/>
    </row>
    <row r="2854" spans="187:190" s="2" customFormat="1" ht="18" customHeight="1" x14ac:dyDescent="0.2">
      <c r="GE2854" s="84"/>
      <c r="GF2854" s="84"/>
      <c r="GG2854" s="84"/>
      <c r="GH2854" s="84"/>
    </row>
    <row r="2855" spans="187:190" s="2" customFormat="1" ht="18" customHeight="1" x14ac:dyDescent="0.2">
      <c r="GE2855" s="84"/>
      <c r="GF2855" s="84"/>
      <c r="GG2855" s="84"/>
      <c r="GH2855" s="84"/>
    </row>
    <row r="2856" spans="187:190" s="2" customFormat="1" ht="18" customHeight="1" x14ac:dyDescent="0.2">
      <c r="GE2856" s="84"/>
      <c r="GF2856" s="84"/>
      <c r="GG2856" s="84"/>
      <c r="GH2856" s="84"/>
    </row>
    <row r="2857" spans="187:190" s="2" customFormat="1" ht="18" customHeight="1" x14ac:dyDescent="0.2">
      <c r="GE2857" s="84"/>
      <c r="GF2857" s="84"/>
      <c r="GG2857" s="84"/>
      <c r="GH2857" s="84"/>
    </row>
    <row r="2858" spans="187:190" s="2" customFormat="1" ht="18" customHeight="1" x14ac:dyDescent="0.2">
      <c r="GE2858" s="84"/>
      <c r="GF2858" s="84"/>
      <c r="GG2858" s="84"/>
      <c r="GH2858" s="84"/>
    </row>
    <row r="2859" spans="187:190" s="2" customFormat="1" ht="18" customHeight="1" x14ac:dyDescent="0.2">
      <c r="GE2859" s="84"/>
      <c r="GF2859" s="84"/>
      <c r="GG2859" s="84"/>
      <c r="GH2859" s="84"/>
    </row>
    <row r="2860" spans="187:190" s="2" customFormat="1" ht="18" customHeight="1" x14ac:dyDescent="0.2">
      <c r="GE2860" s="84"/>
      <c r="GF2860" s="84"/>
      <c r="GG2860" s="84"/>
      <c r="GH2860" s="84"/>
    </row>
    <row r="2861" spans="187:190" s="2" customFormat="1" ht="18" customHeight="1" x14ac:dyDescent="0.2">
      <c r="GE2861" s="84"/>
      <c r="GF2861" s="84"/>
      <c r="GG2861" s="84"/>
      <c r="GH2861" s="84"/>
    </row>
    <row r="2862" spans="187:190" s="2" customFormat="1" ht="18" customHeight="1" x14ac:dyDescent="0.2">
      <c r="GE2862" s="84"/>
      <c r="GF2862" s="84"/>
      <c r="GG2862" s="84"/>
      <c r="GH2862" s="84"/>
    </row>
    <row r="2863" spans="187:190" s="2" customFormat="1" ht="18" customHeight="1" x14ac:dyDescent="0.2">
      <c r="GE2863" s="84"/>
      <c r="GF2863" s="84"/>
      <c r="GG2863" s="84"/>
      <c r="GH2863" s="84"/>
    </row>
    <row r="2864" spans="187:190" s="2" customFormat="1" ht="18" customHeight="1" x14ac:dyDescent="0.2">
      <c r="GE2864" s="84"/>
      <c r="GF2864" s="84"/>
      <c r="GG2864" s="84"/>
      <c r="GH2864" s="84"/>
    </row>
    <row r="2865" spans="187:190" s="2" customFormat="1" ht="18" customHeight="1" x14ac:dyDescent="0.2">
      <c r="GE2865" s="84"/>
      <c r="GF2865" s="84"/>
      <c r="GG2865" s="84"/>
      <c r="GH2865" s="84"/>
    </row>
    <row r="2866" spans="187:190" s="2" customFormat="1" ht="18" customHeight="1" x14ac:dyDescent="0.2">
      <c r="GE2866" s="84"/>
      <c r="GF2866" s="84"/>
      <c r="GG2866" s="84"/>
      <c r="GH2866" s="84"/>
    </row>
    <row r="2867" spans="187:190" s="2" customFormat="1" ht="18" customHeight="1" x14ac:dyDescent="0.2">
      <c r="GE2867" s="84"/>
      <c r="GF2867" s="84"/>
      <c r="GG2867" s="84"/>
      <c r="GH2867" s="84"/>
    </row>
    <row r="2868" spans="187:190" s="2" customFormat="1" ht="18" customHeight="1" x14ac:dyDescent="0.2">
      <c r="GE2868" s="84"/>
      <c r="GF2868" s="84"/>
      <c r="GG2868" s="84"/>
      <c r="GH2868" s="84"/>
    </row>
    <row r="2869" spans="187:190" s="2" customFormat="1" ht="18" customHeight="1" x14ac:dyDescent="0.2">
      <c r="GE2869" s="84"/>
      <c r="GF2869" s="84"/>
      <c r="GG2869" s="84"/>
      <c r="GH2869" s="84"/>
    </row>
    <row r="2870" spans="187:190" s="2" customFormat="1" ht="18" customHeight="1" x14ac:dyDescent="0.2">
      <c r="GE2870" s="84"/>
      <c r="GF2870" s="84"/>
      <c r="GG2870" s="84"/>
      <c r="GH2870" s="84"/>
    </row>
    <row r="2871" spans="187:190" s="2" customFormat="1" ht="18" customHeight="1" x14ac:dyDescent="0.2">
      <c r="GE2871" s="84"/>
      <c r="GF2871" s="84"/>
      <c r="GG2871" s="84"/>
      <c r="GH2871" s="84"/>
    </row>
    <row r="2872" spans="187:190" s="2" customFormat="1" ht="18" customHeight="1" x14ac:dyDescent="0.2">
      <c r="GE2872" s="84"/>
      <c r="GF2872" s="84"/>
      <c r="GG2872" s="84"/>
      <c r="GH2872" s="84"/>
    </row>
    <row r="2873" spans="187:190" s="2" customFormat="1" ht="18" customHeight="1" x14ac:dyDescent="0.2">
      <c r="GE2873" s="84"/>
      <c r="GF2873" s="84"/>
      <c r="GG2873" s="84"/>
      <c r="GH2873" s="84"/>
    </row>
    <row r="2874" spans="187:190" s="2" customFormat="1" ht="18" customHeight="1" x14ac:dyDescent="0.2">
      <c r="GE2874" s="84"/>
      <c r="GF2874" s="84"/>
      <c r="GG2874" s="84"/>
      <c r="GH2874" s="84"/>
    </row>
    <row r="2875" spans="187:190" s="2" customFormat="1" ht="18" customHeight="1" x14ac:dyDescent="0.2">
      <c r="GE2875" s="84"/>
      <c r="GF2875" s="84"/>
      <c r="GG2875" s="84"/>
      <c r="GH2875" s="84"/>
    </row>
    <row r="2876" spans="187:190" s="2" customFormat="1" ht="18" customHeight="1" x14ac:dyDescent="0.2">
      <c r="GE2876" s="84"/>
      <c r="GF2876" s="84"/>
      <c r="GG2876" s="84"/>
      <c r="GH2876" s="84"/>
    </row>
    <row r="2877" spans="187:190" s="2" customFormat="1" ht="18" customHeight="1" x14ac:dyDescent="0.2">
      <c r="GE2877" s="84"/>
      <c r="GF2877" s="84"/>
      <c r="GG2877" s="84"/>
      <c r="GH2877" s="84"/>
    </row>
    <row r="2878" spans="187:190" s="2" customFormat="1" ht="18" customHeight="1" x14ac:dyDescent="0.2">
      <c r="GE2878" s="84"/>
      <c r="GF2878" s="84"/>
      <c r="GG2878" s="84"/>
      <c r="GH2878" s="84"/>
    </row>
    <row r="2879" spans="187:190" s="2" customFormat="1" ht="18" customHeight="1" x14ac:dyDescent="0.2">
      <c r="GE2879" s="84"/>
      <c r="GF2879" s="84"/>
      <c r="GG2879" s="84"/>
      <c r="GH2879" s="84"/>
    </row>
    <row r="2880" spans="187:190" s="2" customFormat="1" ht="18" customHeight="1" x14ac:dyDescent="0.2">
      <c r="GE2880" s="84"/>
      <c r="GF2880" s="84"/>
      <c r="GG2880" s="84"/>
      <c r="GH2880" s="84"/>
    </row>
    <row r="2881" spans="187:190" s="2" customFormat="1" ht="18" customHeight="1" x14ac:dyDescent="0.2">
      <c r="GE2881" s="84"/>
      <c r="GF2881" s="84"/>
      <c r="GG2881" s="84"/>
      <c r="GH2881" s="84"/>
    </row>
    <row r="2882" spans="187:190" s="2" customFormat="1" ht="18" customHeight="1" x14ac:dyDescent="0.2">
      <c r="GE2882" s="84"/>
      <c r="GF2882" s="84"/>
      <c r="GG2882" s="84"/>
      <c r="GH2882" s="84"/>
    </row>
    <row r="2883" spans="187:190" s="2" customFormat="1" ht="18" customHeight="1" x14ac:dyDescent="0.2">
      <c r="GE2883" s="84"/>
      <c r="GF2883" s="84"/>
      <c r="GG2883" s="84"/>
      <c r="GH2883" s="84"/>
    </row>
    <row r="2884" spans="187:190" s="2" customFormat="1" ht="18" customHeight="1" x14ac:dyDescent="0.2">
      <c r="GE2884" s="84"/>
      <c r="GF2884" s="84"/>
      <c r="GG2884" s="84"/>
      <c r="GH2884" s="84"/>
    </row>
    <row r="2885" spans="187:190" s="2" customFormat="1" ht="18" customHeight="1" x14ac:dyDescent="0.2">
      <c r="GE2885" s="84"/>
      <c r="GF2885" s="84"/>
      <c r="GG2885" s="84"/>
      <c r="GH2885" s="84"/>
    </row>
    <row r="2886" spans="187:190" s="2" customFormat="1" ht="18" customHeight="1" x14ac:dyDescent="0.2">
      <c r="GE2886" s="84"/>
      <c r="GF2886" s="84"/>
      <c r="GG2886" s="84"/>
      <c r="GH2886" s="84"/>
    </row>
    <row r="2887" spans="187:190" s="2" customFormat="1" ht="18" customHeight="1" x14ac:dyDescent="0.2">
      <c r="GE2887" s="84"/>
      <c r="GF2887" s="84"/>
      <c r="GG2887" s="84"/>
      <c r="GH2887" s="84"/>
    </row>
    <row r="2888" spans="187:190" s="2" customFormat="1" ht="18" customHeight="1" x14ac:dyDescent="0.2">
      <c r="GE2888" s="84"/>
      <c r="GF2888" s="84"/>
      <c r="GG2888" s="84"/>
      <c r="GH2888" s="84"/>
    </row>
    <row r="2889" spans="187:190" s="2" customFormat="1" ht="18" customHeight="1" x14ac:dyDescent="0.2">
      <c r="GE2889" s="84"/>
      <c r="GF2889" s="84"/>
      <c r="GG2889" s="84"/>
      <c r="GH2889" s="84"/>
    </row>
    <row r="2890" spans="187:190" s="2" customFormat="1" ht="18" customHeight="1" x14ac:dyDescent="0.2">
      <c r="GE2890" s="84"/>
      <c r="GF2890" s="84"/>
      <c r="GG2890" s="84"/>
      <c r="GH2890" s="84"/>
    </row>
    <row r="2891" spans="187:190" s="2" customFormat="1" ht="18" customHeight="1" x14ac:dyDescent="0.2">
      <c r="GE2891" s="84"/>
      <c r="GF2891" s="84"/>
      <c r="GG2891" s="84"/>
      <c r="GH2891" s="84"/>
    </row>
    <row r="2892" spans="187:190" s="2" customFormat="1" ht="18" customHeight="1" x14ac:dyDescent="0.2">
      <c r="GE2892" s="84"/>
      <c r="GF2892" s="84"/>
      <c r="GG2892" s="84"/>
      <c r="GH2892" s="84"/>
    </row>
    <row r="2893" spans="187:190" s="2" customFormat="1" ht="18" customHeight="1" x14ac:dyDescent="0.2">
      <c r="GE2893" s="84"/>
      <c r="GF2893" s="84"/>
      <c r="GG2893" s="84"/>
      <c r="GH2893" s="84"/>
    </row>
    <row r="2894" spans="187:190" s="2" customFormat="1" ht="18" customHeight="1" x14ac:dyDescent="0.2">
      <c r="GE2894" s="84"/>
      <c r="GF2894" s="84"/>
      <c r="GG2894" s="84"/>
      <c r="GH2894" s="84"/>
    </row>
    <row r="2895" spans="187:190" s="2" customFormat="1" ht="18" customHeight="1" x14ac:dyDescent="0.2">
      <c r="GE2895" s="84"/>
      <c r="GF2895" s="84"/>
      <c r="GG2895" s="84"/>
      <c r="GH2895" s="84"/>
    </row>
    <row r="2896" spans="187:190" s="2" customFormat="1" ht="18" customHeight="1" x14ac:dyDescent="0.2">
      <c r="GE2896" s="84"/>
      <c r="GF2896" s="84"/>
      <c r="GG2896" s="84"/>
      <c r="GH2896" s="84"/>
    </row>
    <row r="2897" spans="187:190" s="2" customFormat="1" ht="18" customHeight="1" x14ac:dyDescent="0.2">
      <c r="GE2897" s="84"/>
      <c r="GF2897" s="84"/>
      <c r="GG2897" s="84"/>
      <c r="GH2897" s="84"/>
    </row>
    <row r="2898" spans="187:190" s="2" customFormat="1" ht="18" customHeight="1" x14ac:dyDescent="0.2">
      <c r="GE2898" s="84"/>
      <c r="GF2898" s="84"/>
      <c r="GG2898" s="84"/>
      <c r="GH2898" s="84"/>
    </row>
    <row r="2899" spans="187:190" s="2" customFormat="1" ht="18" customHeight="1" x14ac:dyDescent="0.2">
      <c r="GE2899" s="84"/>
      <c r="GF2899" s="84"/>
      <c r="GG2899" s="84"/>
      <c r="GH2899" s="84"/>
    </row>
    <row r="2900" spans="187:190" s="2" customFormat="1" ht="18" customHeight="1" x14ac:dyDescent="0.2">
      <c r="GE2900" s="84"/>
      <c r="GF2900" s="84"/>
      <c r="GG2900" s="84"/>
      <c r="GH2900" s="84"/>
    </row>
    <row r="2901" spans="187:190" s="2" customFormat="1" ht="18" customHeight="1" x14ac:dyDescent="0.2">
      <c r="GE2901" s="84"/>
      <c r="GF2901" s="84"/>
      <c r="GG2901" s="84"/>
      <c r="GH2901" s="84"/>
    </row>
    <row r="2902" spans="187:190" s="2" customFormat="1" ht="18" customHeight="1" x14ac:dyDescent="0.2">
      <c r="GE2902" s="84"/>
      <c r="GF2902" s="84"/>
      <c r="GG2902" s="84"/>
      <c r="GH2902" s="84"/>
    </row>
    <row r="2903" spans="187:190" s="2" customFormat="1" ht="18" customHeight="1" x14ac:dyDescent="0.2">
      <c r="GE2903" s="84"/>
      <c r="GF2903" s="84"/>
      <c r="GG2903" s="84"/>
      <c r="GH2903" s="84"/>
    </row>
    <row r="2904" spans="187:190" s="2" customFormat="1" ht="18" customHeight="1" x14ac:dyDescent="0.2">
      <c r="GE2904" s="84"/>
      <c r="GF2904" s="84"/>
      <c r="GG2904" s="84"/>
      <c r="GH2904" s="84"/>
    </row>
    <row r="2905" spans="187:190" s="2" customFormat="1" ht="18" customHeight="1" x14ac:dyDescent="0.2">
      <c r="GE2905" s="84"/>
      <c r="GF2905" s="84"/>
      <c r="GG2905" s="84"/>
      <c r="GH2905" s="84"/>
    </row>
    <row r="2906" spans="187:190" s="2" customFormat="1" ht="18" customHeight="1" x14ac:dyDescent="0.2">
      <c r="GE2906" s="84"/>
      <c r="GF2906" s="84"/>
      <c r="GG2906" s="84"/>
      <c r="GH2906" s="84"/>
    </row>
    <row r="2907" spans="187:190" s="2" customFormat="1" ht="18" customHeight="1" x14ac:dyDescent="0.2">
      <c r="GE2907" s="84"/>
      <c r="GF2907" s="84"/>
      <c r="GG2907" s="84"/>
      <c r="GH2907" s="84"/>
    </row>
    <row r="2908" spans="187:190" s="2" customFormat="1" ht="18" customHeight="1" x14ac:dyDescent="0.2">
      <c r="GE2908" s="84"/>
      <c r="GF2908" s="84"/>
      <c r="GG2908" s="84"/>
      <c r="GH2908" s="84"/>
    </row>
    <row r="2909" spans="187:190" s="2" customFormat="1" ht="18" customHeight="1" x14ac:dyDescent="0.2">
      <c r="GE2909" s="84"/>
      <c r="GF2909" s="84"/>
      <c r="GG2909" s="84"/>
      <c r="GH2909" s="84"/>
    </row>
    <row r="2910" spans="187:190" s="2" customFormat="1" ht="18" customHeight="1" x14ac:dyDescent="0.2">
      <c r="GE2910" s="84"/>
      <c r="GF2910" s="84"/>
      <c r="GG2910" s="84"/>
      <c r="GH2910" s="84"/>
    </row>
    <row r="2911" spans="187:190" s="2" customFormat="1" ht="18" customHeight="1" x14ac:dyDescent="0.2">
      <c r="GE2911" s="84"/>
      <c r="GF2911" s="84"/>
      <c r="GG2911" s="84"/>
      <c r="GH2911" s="84"/>
    </row>
    <row r="2912" spans="187:190" s="2" customFormat="1" ht="18" customHeight="1" x14ac:dyDescent="0.2">
      <c r="GE2912" s="84"/>
      <c r="GF2912" s="84"/>
      <c r="GG2912" s="84"/>
      <c r="GH2912" s="84"/>
    </row>
    <row r="2913" spans="187:190" s="2" customFormat="1" ht="18" customHeight="1" x14ac:dyDescent="0.2">
      <c r="GE2913" s="84"/>
      <c r="GF2913" s="84"/>
      <c r="GG2913" s="84"/>
      <c r="GH2913" s="84"/>
    </row>
    <row r="2914" spans="187:190" s="2" customFormat="1" ht="18" customHeight="1" x14ac:dyDescent="0.2">
      <c r="GE2914" s="84"/>
      <c r="GF2914" s="84"/>
      <c r="GG2914" s="84"/>
      <c r="GH2914" s="84"/>
    </row>
    <row r="2915" spans="187:190" s="2" customFormat="1" ht="18" customHeight="1" x14ac:dyDescent="0.2">
      <c r="GE2915" s="84"/>
      <c r="GF2915" s="84"/>
      <c r="GG2915" s="84"/>
      <c r="GH2915" s="84"/>
    </row>
    <row r="2916" spans="187:190" s="2" customFormat="1" ht="18" customHeight="1" x14ac:dyDescent="0.2">
      <c r="GE2916" s="84"/>
      <c r="GF2916" s="84"/>
      <c r="GG2916" s="84"/>
      <c r="GH2916" s="84"/>
    </row>
    <row r="2917" spans="187:190" s="2" customFormat="1" ht="18" customHeight="1" x14ac:dyDescent="0.2">
      <c r="GE2917" s="84"/>
      <c r="GF2917" s="84"/>
      <c r="GG2917" s="84"/>
      <c r="GH2917" s="84"/>
    </row>
    <row r="2918" spans="187:190" s="2" customFormat="1" ht="18" customHeight="1" x14ac:dyDescent="0.2">
      <c r="GE2918" s="84"/>
      <c r="GF2918" s="84"/>
      <c r="GG2918" s="84"/>
      <c r="GH2918" s="84"/>
    </row>
    <row r="2919" spans="187:190" s="2" customFormat="1" ht="18" customHeight="1" x14ac:dyDescent="0.2">
      <c r="GE2919" s="84"/>
      <c r="GF2919" s="84"/>
      <c r="GG2919" s="84"/>
      <c r="GH2919" s="84"/>
    </row>
    <row r="2920" spans="187:190" s="2" customFormat="1" ht="18" customHeight="1" x14ac:dyDescent="0.2">
      <c r="GE2920" s="84"/>
      <c r="GF2920" s="84"/>
      <c r="GG2920" s="84"/>
      <c r="GH2920" s="84"/>
    </row>
    <row r="2921" spans="187:190" s="2" customFormat="1" ht="18" customHeight="1" x14ac:dyDescent="0.2">
      <c r="GE2921" s="84"/>
      <c r="GF2921" s="84"/>
      <c r="GG2921" s="84"/>
      <c r="GH2921" s="84"/>
    </row>
    <row r="2922" spans="187:190" s="2" customFormat="1" ht="18" customHeight="1" x14ac:dyDescent="0.2">
      <c r="GE2922" s="84"/>
      <c r="GF2922" s="84"/>
      <c r="GG2922" s="84"/>
      <c r="GH2922" s="84"/>
    </row>
    <row r="2923" spans="187:190" s="2" customFormat="1" ht="18" customHeight="1" x14ac:dyDescent="0.2">
      <c r="GE2923" s="84"/>
      <c r="GF2923" s="84"/>
      <c r="GG2923" s="84"/>
      <c r="GH2923" s="84"/>
    </row>
    <row r="2924" spans="187:190" s="2" customFormat="1" ht="18" customHeight="1" x14ac:dyDescent="0.2">
      <c r="GE2924" s="84"/>
      <c r="GF2924" s="84"/>
      <c r="GG2924" s="84"/>
      <c r="GH2924" s="84"/>
    </row>
    <row r="2925" spans="187:190" s="2" customFormat="1" ht="18" customHeight="1" x14ac:dyDescent="0.2">
      <c r="GE2925" s="84"/>
      <c r="GF2925" s="84"/>
      <c r="GG2925" s="84"/>
      <c r="GH2925" s="84"/>
    </row>
    <row r="2926" spans="187:190" s="2" customFormat="1" ht="18" customHeight="1" x14ac:dyDescent="0.2">
      <c r="GE2926" s="84"/>
      <c r="GF2926" s="84"/>
      <c r="GG2926" s="84"/>
      <c r="GH2926" s="84"/>
    </row>
    <row r="2927" spans="187:190" s="2" customFormat="1" ht="18" customHeight="1" x14ac:dyDescent="0.2">
      <c r="GE2927" s="84"/>
      <c r="GF2927" s="84"/>
      <c r="GG2927" s="84"/>
      <c r="GH2927" s="84"/>
    </row>
    <row r="2928" spans="187:190" s="2" customFormat="1" ht="18" customHeight="1" x14ac:dyDescent="0.2">
      <c r="GE2928" s="84"/>
      <c r="GF2928" s="84"/>
      <c r="GG2928" s="84"/>
      <c r="GH2928" s="84"/>
    </row>
    <row r="2929" spans="187:190" s="2" customFormat="1" ht="18" customHeight="1" x14ac:dyDescent="0.2">
      <c r="GE2929" s="84"/>
      <c r="GF2929" s="84"/>
      <c r="GG2929" s="84"/>
      <c r="GH2929" s="84"/>
    </row>
    <row r="2930" spans="187:190" s="2" customFormat="1" ht="18" customHeight="1" x14ac:dyDescent="0.2">
      <c r="GE2930" s="84"/>
      <c r="GF2930" s="84"/>
      <c r="GG2930" s="84"/>
      <c r="GH2930" s="84"/>
    </row>
    <row r="2931" spans="187:190" s="2" customFormat="1" ht="18" customHeight="1" x14ac:dyDescent="0.2">
      <c r="GE2931" s="84"/>
      <c r="GF2931" s="84"/>
      <c r="GG2931" s="84"/>
      <c r="GH2931" s="84"/>
    </row>
    <row r="2932" spans="187:190" s="2" customFormat="1" ht="18" customHeight="1" x14ac:dyDescent="0.2">
      <c r="GE2932" s="84"/>
      <c r="GF2932" s="84"/>
      <c r="GG2932" s="84"/>
      <c r="GH2932" s="84"/>
    </row>
    <row r="2933" spans="187:190" s="2" customFormat="1" ht="18" customHeight="1" x14ac:dyDescent="0.2">
      <c r="GE2933" s="84"/>
      <c r="GF2933" s="84"/>
      <c r="GG2933" s="84"/>
      <c r="GH2933" s="84"/>
    </row>
    <row r="2934" spans="187:190" s="2" customFormat="1" ht="18" customHeight="1" x14ac:dyDescent="0.2">
      <c r="GE2934" s="84"/>
      <c r="GF2934" s="84"/>
      <c r="GG2934" s="84"/>
      <c r="GH2934" s="84"/>
    </row>
    <row r="2935" spans="187:190" s="2" customFormat="1" ht="18" customHeight="1" x14ac:dyDescent="0.2">
      <c r="GE2935" s="84"/>
      <c r="GF2935" s="84"/>
      <c r="GG2935" s="84"/>
      <c r="GH2935" s="84"/>
    </row>
    <row r="2936" spans="187:190" s="2" customFormat="1" ht="18" customHeight="1" x14ac:dyDescent="0.2">
      <c r="GE2936" s="84"/>
      <c r="GF2936" s="84"/>
      <c r="GG2936" s="84"/>
      <c r="GH2936" s="84"/>
    </row>
    <row r="2937" spans="187:190" s="2" customFormat="1" ht="18" customHeight="1" x14ac:dyDescent="0.2">
      <c r="GE2937" s="84"/>
      <c r="GF2937" s="84"/>
      <c r="GG2937" s="84"/>
      <c r="GH2937" s="84"/>
    </row>
    <row r="2938" spans="187:190" s="2" customFormat="1" ht="18" customHeight="1" x14ac:dyDescent="0.2">
      <c r="GE2938" s="84"/>
      <c r="GF2938" s="84"/>
      <c r="GG2938" s="84"/>
      <c r="GH2938" s="84"/>
    </row>
    <row r="2939" spans="187:190" s="2" customFormat="1" ht="18" customHeight="1" x14ac:dyDescent="0.2">
      <c r="GE2939" s="84"/>
      <c r="GF2939" s="84"/>
      <c r="GG2939" s="84"/>
      <c r="GH2939" s="84"/>
    </row>
    <row r="2940" spans="187:190" s="2" customFormat="1" ht="18" customHeight="1" x14ac:dyDescent="0.2">
      <c r="GE2940" s="84"/>
      <c r="GF2940" s="84"/>
      <c r="GG2940" s="84"/>
      <c r="GH2940" s="84"/>
    </row>
    <row r="2941" spans="187:190" s="2" customFormat="1" ht="18" customHeight="1" x14ac:dyDescent="0.2">
      <c r="GE2941" s="84"/>
      <c r="GF2941" s="84"/>
      <c r="GG2941" s="84"/>
      <c r="GH2941" s="84"/>
    </row>
    <row r="2942" spans="187:190" s="2" customFormat="1" ht="18" customHeight="1" x14ac:dyDescent="0.2">
      <c r="GE2942" s="84"/>
      <c r="GF2942" s="84"/>
      <c r="GG2942" s="84"/>
      <c r="GH2942" s="84"/>
    </row>
    <row r="2943" spans="187:190" s="2" customFormat="1" ht="18" customHeight="1" x14ac:dyDescent="0.2">
      <c r="GE2943" s="84"/>
      <c r="GF2943" s="84"/>
      <c r="GG2943" s="84"/>
      <c r="GH2943" s="84"/>
    </row>
    <row r="2944" spans="187:190" s="2" customFormat="1" ht="18" customHeight="1" x14ac:dyDescent="0.2">
      <c r="GE2944" s="84"/>
      <c r="GF2944" s="84"/>
      <c r="GG2944" s="84"/>
      <c r="GH2944" s="84"/>
    </row>
    <row r="2945" spans="187:190" s="2" customFormat="1" ht="18" customHeight="1" x14ac:dyDescent="0.2">
      <c r="GE2945" s="84"/>
      <c r="GF2945" s="84"/>
      <c r="GG2945" s="84"/>
      <c r="GH2945" s="84"/>
    </row>
    <row r="2946" spans="187:190" s="2" customFormat="1" ht="18" customHeight="1" x14ac:dyDescent="0.2">
      <c r="GE2946" s="84"/>
      <c r="GF2946" s="84"/>
      <c r="GG2946" s="84"/>
      <c r="GH2946" s="84"/>
    </row>
    <row r="2947" spans="187:190" s="2" customFormat="1" ht="18" customHeight="1" x14ac:dyDescent="0.2">
      <c r="GE2947" s="84"/>
      <c r="GF2947" s="84"/>
      <c r="GG2947" s="84"/>
      <c r="GH2947" s="84"/>
    </row>
    <row r="2948" spans="187:190" s="2" customFormat="1" ht="18" customHeight="1" x14ac:dyDescent="0.2">
      <c r="GE2948" s="84"/>
      <c r="GF2948" s="84"/>
      <c r="GG2948" s="84"/>
      <c r="GH2948" s="84"/>
    </row>
    <row r="2949" spans="187:190" s="2" customFormat="1" ht="18" customHeight="1" x14ac:dyDescent="0.2">
      <c r="GE2949" s="84"/>
      <c r="GF2949" s="84"/>
      <c r="GG2949" s="84"/>
      <c r="GH2949" s="84"/>
    </row>
    <row r="2950" spans="187:190" s="2" customFormat="1" ht="18" customHeight="1" x14ac:dyDescent="0.2">
      <c r="GE2950" s="84"/>
      <c r="GF2950" s="84"/>
      <c r="GG2950" s="84"/>
      <c r="GH2950" s="84"/>
    </row>
    <row r="2951" spans="187:190" s="2" customFormat="1" ht="18" customHeight="1" x14ac:dyDescent="0.2">
      <c r="GE2951" s="84"/>
      <c r="GF2951" s="84"/>
      <c r="GG2951" s="84"/>
      <c r="GH2951" s="84"/>
    </row>
    <row r="2952" spans="187:190" s="2" customFormat="1" ht="18" customHeight="1" x14ac:dyDescent="0.2">
      <c r="GE2952" s="84"/>
      <c r="GF2952" s="84"/>
      <c r="GG2952" s="84"/>
      <c r="GH2952" s="84"/>
    </row>
    <row r="2953" spans="187:190" s="2" customFormat="1" ht="18" customHeight="1" x14ac:dyDescent="0.2">
      <c r="GE2953" s="84"/>
      <c r="GF2953" s="84"/>
      <c r="GG2953" s="84"/>
      <c r="GH2953" s="84"/>
    </row>
    <row r="2954" spans="187:190" s="2" customFormat="1" ht="18" customHeight="1" x14ac:dyDescent="0.2">
      <c r="GE2954" s="84"/>
      <c r="GF2954" s="84"/>
      <c r="GG2954" s="84"/>
      <c r="GH2954" s="84"/>
    </row>
    <row r="2955" spans="187:190" s="2" customFormat="1" ht="18" customHeight="1" x14ac:dyDescent="0.2">
      <c r="GE2955" s="84"/>
      <c r="GF2955" s="84"/>
      <c r="GG2955" s="84"/>
      <c r="GH2955" s="84"/>
    </row>
    <row r="2956" spans="187:190" s="2" customFormat="1" ht="18" customHeight="1" x14ac:dyDescent="0.2">
      <c r="GE2956" s="84"/>
      <c r="GF2956" s="84"/>
      <c r="GG2956" s="84"/>
      <c r="GH2956" s="84"/>
    </row>
    <row r="2957" spans="187:190" s="2" customFormat="1" ht="18" customHeight="1" x14ac:dyDescent="0.2">
      <c r="GE2957" s="84"/>
      <c r="GF2957" s="84"/>
      <c r="GG2957" s="84"/>
      <c r="GH2957" s="84"/>
    </row>
    <row r="2958" spans="187:190" s="2" customFormat="1" ht="18" customHeight="1" x14ac:dyDescent="0.2">
      <c r="GE2958" s="84"/>
      <c r="GF2958" s="84"/>
      <c r="GG2958" s="84"/>
      <c r="GH2958" s="84"/>
    </row>
    <row r="2959" spans="187:190" s="2" customFormat="1" ht="18" customHeight="1" x14ac:dyDescent="0.2">
      <c r="GE2959" s="84"/>
      <c r="GF2959" s="84"/>
      <c r="GG2959" s="84"/>
      <c r="GH2959" s="84"/>
    </row>
    <row r="2960" spans="187:190" s="2" customFormat="1" ht="18" customHeight="1" x14ac:dyDescent="0.2">
      <c r="GE2960" s="84"/>
      <c r="GF2960" s="84"/>
      <c r="GG2960" s="84"/>
      <c r="GH2960" s="84"/>
    </row>
    <row r="2961" spans="187:190" s="2" customFormat="1" ht="18" customHeight="1" x14ac:dyDescent="0.2">
      <c r="GE2961" s="84"/>
      <c r="GF2961" s="84"/>
      <c r="GG2961" s="84"/>
      <c r="GH2961" s="84"/>
    </row>
    <row r="2962" spans="187:190" s="2" customFormat="1" ht="18" customHeight="1" x14ac:dyDescent="0.2">
      <c r="GE2962" s="84"/>
      <c r="GF2962" s="84"/>
      <c r="GG2962" s="84"/>
      <c r="GH2962" s="84"/>
    </row>
    <row r="2963" spans="187:190" s="2" customFormat="1" ht="18" customHeight="1" x14ac:dyDescent="0.2">
      <c r="GE2963" s="84"/>
      <c r="GF2963" s="84"/>
      <c r="GG2963" s="84"/>
      <c r="GH2963" s="84"/>
    </row>
    <row r="2964" spans="187:190" s="2" customFormat="1" ht="18" customHeight="1" x14ac:dyDescent="0.2">
      <c r="GE2964" s="84"/>
      <c r="GF2964" s="84"/>
      <c r="GG2964" s="84"/>
      <c r="GH2964" s="84"/>
    </row>
    <row r="2965" spans="187:190" s="2" customFormat="1" ht="18" customHeight="1" x14ac:dyDescent="0.2">
      <c r="GE2965" s="84"/>
      <c r="GF2965" s="84"/>
      <c r="GG2965" s="84"/>
      <c r="GH2965" s="84"/>
    </row>
    <row r="2966" spans="187:190" s="2" customFormat="1" ht="18" customHeight="1" x14ac:dyDescent="0.2">
      <c r="GE2966" s="84"/>
      <c r="GF2966" s="84"/>
      <c r="GG2966" s="84"/>
      <c r="GH2966" s="84"/>
    </row>
    <row r="2967" spans="187:190" s="2" customFormat="1" ht="18" customHeight="1" x14ac:dyDescent="0.2">
      <c r="GE2967" s="84"/>
      <c r="GF2967" s="84"/>
      <c r="GG2967" s="84"/>
      <c r="GH2967" s="84"/>
    </row>
    <row r="2968" spans="187:190" s="2" customFormat="1" ht="18" customHeight="1" x14ac:dyDescent="0.2">
      <c r="GE2968" s="84"/>
      <c r="GF2968" s="84"/>
      <c r="GG2968" s="84"/>
      <c r="GH2968" s="84"/>
    </row>
    <row r="2969" spans="187:190" s="2" customFormat="1" ht="18" customHeight="1" x14ac:dyDescent="0.2">
      <c r="GE2969" s="84"/>
      <c r="GF2969" s="84"/>
      <c r="GG2969" s="84"/>
      <c r="GH2969" s="84"/>
    </row>
    <row r="2970" spans="187:190" s="2" customFormat="1" ht="18" customHeight="1" x14ac:dyDescent="0.2">
      <c r="GE2970" s="84"/>
      <c r="GF2970" s="84"/>
      <c r="GG2970" s="84"/>
      <c r="GH2970" s="84"/>
    </row>
    <row r="2971" spans="187:190" s="2" customFormat="1" ht="18" customHeight="1" x14ac:dyDescent="0.2">
      <c r="GE2971" s="84"/>
      <c r="GF2971" s="84"/>
      <c r="GG2971" s="84"/>
      <c r="GH2971" s="84"/>
    </row>
    <row r="2972" spans="187:190" s="2" customFormat="1" ht="18" customHeight="1" x14ac:dyDescent="0.2">
      <c r="GE2972" s="84"/>
      <c r="GF2972" s="84"/>
      <c r="GG2972" s="84"/>
      <c r="GH2972" s="84"/>
    </row>
    <row r="2973" spans="187:190" s="2" customFormat="1" ht="18" customHeight="1" x14ac:dyDescent="0.2">
      <c r="GE2973" s="84"/>
      <c r="GF2973" s="84"/>
      <c r="GG2973" s="84"/>
      <c r="GH2973" s="84"/>
    </row>
    <row r="2974" spans="187:190" s="2" customFormat="1" ht="18" customHeight="1" x14ac:dyDescent="0.2">
      <c r="GE2974" s="84"/>
      <c r="GF2974" s="84"/>
      <c r="GG2974" s="84"/>
      <c r="GH2974" s="84"/>
    </row>
    <row r="2975" spans="187:190" s="2" customFormat="1" ht="18" customHeight="1" x14ac:dyDescent="0.2">
      <c r="GE2975" s="84"/>
      <c r="GF2975" s="84"/>
      <c r="GG2975" s="84"/>
      <c r="GH2975" s="84"/>
    </row>
    <row r="2976" spans="187:190" s="2" customFormat="1" ht="18" customHeight="1" x14ac:dyDescent="0.2">
      <c r="GE2976" s="84"/>
      <c r="GF2976" s="84"/>
      <c r="GG2976" s="84"/>
      <c r="GH2976" s="84"/>
    </row>
    <row r="2977" spans="187:190" s="2" customFormat="1" ht="18" customHeight="1" x14ac:dyDescent="0.2">
      <c r="GE2977" s="84"/>
      <c r="GF2977" s="84"/>
      <c r="GG2977" s="84"/>
      <c r="GH2977" s="84"/>
    </row>
    <row r="2978" spans="187:190" s="2" customFormat="1" ht="18" customHeight="1" x14ac:dyDescent="0.2">
      <c r="GE2978" s="84"/>
      <c r="GF2978" s="84"/>
      <c r="GG2978" s="84"/>
      <c r="GH2978" s="84"/>
    </row>
    <row r="2979" spans="187:190" s="2" customFormat="1" ht="18" customHeight="1" x14ac:dyDescent="0.2">
      <c r="GE2979" s="84"/>
      <c r="GF2979" s="84"/>
      <c r="GG2979" s="84"/>
      <c r="GH2979" s="84"/>
    </row>
    <row r="2980" spans="187:190" s="2" customFormat="1" ht="18" customHeight="1" x14ac:dyDescent="0.2">
      <c r="GE2980" s="84"/>
      <c r="GF2980" s="84"/>
      <c r="GG2980" s="84"/>
      <c r="GH2980" s="84"/>
    </row>
    <row r="2981" spans="187:190" s="2" customFormat="1" ht="18" customHeight="1" x14ac:dyDescent="0.2">
      <c r="GE2981" s="84"/>
      <c r="GF2981" s="84"/>
      <c r="GG2981" s="84"/>
      <c r="GH2981" s="84"/>
    </row>
    <row r="2982" spans="187:190" s="2" customFormat="1" ht="18" customHeight="1" x14ac:dyDescent="0.2">
      <c r="GE2982" s="84"/>
      <c r="GF2982" s="84"/>
      <c r="GG2982" s="84"/>
      <c r="GH2982" s="84"/>
    </row>
    <row r="2983" spans="187:190" s="2" customFormat="1" ht="18" customHeight="1" x14ac:dyDescent="0.2">
      <c r="GE2983" s="84"/>
      <c r="GF2983" s="84"/>
      <c r="GG2983" s="84"/>
      <c r="GH2983" s="84"/>
    </row>
    <row r="2984" spans="187:190" s="2" customFormat="1" ht="18" customHeight="1" x14ac:dyDescent="0.2">
      <c r="GE2984" s="84"/>
      <c r="GF2984" s="84"/>
      <c r="GG2984" s="84"/>
      <c r="GH2984" s="84"/>
    </row>
    <row r="2985" spans="187:190" s="2" customFormat="1" ht="18" customHeight="1" x14ac:dyDescent="0.2">
      <c r="GE2985" s="84"/>
      <c r="GF2985" s="84"/>
      <c r="GG2985" s="84"/>
      <c r="GH2985" s="84"/>
    </row>
    <row r="2986" spans="187:190" s="2" customFormat="1" ht="18" customHeight="1" x14ac:dyDescent="0.2">
      <c r="GE2986" s="84"/>
      <c r="GF2986" s="84"/>
      <c r="GG2986" s="84"/>
      <c r="GH2986" s="84"/>
    </row>
    <row r="2987" spans="187:190" s="2" customFormat="1" ht="18" customHeight="1" x14ac:dyDescent="0.2">
      <c r="GE2987" s="84"/>
      <c r="GF2987" s="84"/>
      <c r="GG2987" s="84"/>
      <c r="GH2987" s="84"/>
    </row>
    <row r="2988" spans="187:190" s="2" customFormat="1" ht="18" customHeight="1" x14ac:dyDescent="0.2">
      <c r="GE2988" s="84"/>
      <c r="GF2988" s="84"/>
      <c r="GG2988" s="84"/>
      <c r="GH2988" s="84"/>
    </row>
    <row r="2989" spans="187:190" s="2" customFormat="1" ht="18" customHeight="1" x14ac:dyDescent="0.2">
      <c r="GE2989" s="84"/>
      <c r="GF2989" s="84"/>
      <c r="GG2989" s="84"/>
      <c r="GH2989" s="84"/>
    </row>
    <row r="2990" spans="187:190" s="2" customFormat="1" ht="18" customHeight="1" x14ac:dyDescent="0.2">
      <c r="GE2990" s="84"/>
      <c r="GF2990" s="84"/>
      <c r="GG2990" s="84"/>
      <c r="GH2990" s="84"/>
    </row>
    <row r="2991" spans="187:190" s="2" customFormat="1" ht="18" customHeight="1" x14ac:dyDescent="0.2">
      <c r="GE2991" s="84"/>
      <c r="GF2991" s="84"/>
      <c r="GG2991" s="84"/>
      <c r="GH2991" s="84"/>
    </row>
    <row r="2992" spans="187:190" s="2" customFormat="1" ht="18" customHeight="1" x14ac:dyDescent="0.2">
      <c r="GE2992" s="84"/>
      <c r="GF2992" s="84"/>
      <c r="GG2992" s="84"/>
      <c r="GH2992" s="84"/>
    </row>
    <row r="2993" spans="187:190" s="2" customFormat="1" ht="18" customHeight="1" x14ac:dyDescent="0.2">
      <c r="GE2993" s="84"/>
      <c r="GF2993" s="84"/>
      <c r="GG2993" s="84"/>
      <c r="GH2993" s="84"/>
    </row>
    <row r="2994" spans="187:190" s="2" customFormat="1" ht="18" customHeight="1" x14ac:dyDescent="0.2">
      <c r="GE2994" s="84"/>
      <c r="GF2994" s="84"/>
      <c r="GG2994" s="84"/>
      <c r="GH2994" s="84"/>
    </row>
    <row r="2995" spans="187:190" s="2" customFormat="1" ht="18" customHeight="1" x14ac:dyDescent="0.2">
      <c r="GE2995" s="84"/>
      <c r="GF2995" s="84"/>
      <c r="GG2995" s="84"/>
      <c r="GH2995" s="84"/>
    </row>
    <row r="2996" spans="187:190" s="2" customFormat="1" ht="18" customHeight="1" x14ac:dyDescent="0.2">
      <c r="GE2996" s="84"/>
      <c r="GF2996" s="84"/>
      <c r="GG2996" s="84"/>
      <c r="GH2996" s="84"/>
    </row>
    <row r="2997" spans="187:190" s="2" customFormat="1" ht="18" customHeight="1" x14ac:dyDescent="0.2">
      <c r="GE2997" s="84"/>
      <c r="GF2997" s="84"/>
      <c r="GG2997" s="84"/>
      <c r="GH2997" s="84"/>
    </row>
    <row r="2998" spans="187:190" s="2" customFormat="1" ht="18" customHeight="1" x14ac:dyDescent="0.2">
      <c r="GE2998" s="84"/>
      <c r="GF2998" s="84"/>
      <c r="GG2998" s="84"/>
      <c r="GH2998" s="84"/>
    </row>
    <row r="2999" spans="187:190" s="2" customFormat="1" ht="18" customHeight="1" x14ac:dyDescent="0.2">
      <c r="GE2999" s="84"/>
      <c r="GF2999" s="84"/>
      <c r="GG2999" s="84"/>
      <c r="GH2999" s="84"/>
    </row>
    <row r="3000" spans="187:190" s="2" customFormat="1" ht="18" customHeight="1" x14ac:dyDescent="0.2">
      <c r="GE3000" s="84"/>
      <c r="GF3000" s="84"/>
      <c r="GG3000" s="84"/>
      <c r="GH3000" s="84"/>
    </row>
    <row r="3001" spans="187:190" s="2" customFormat="1" ht="18" customHeight="1" x14ac:dyDescent="0.2">
      <c r="GE3001" s="84"/>
      <c r="GF3001" s="84"/>
      <c r="GG3001" s="84"/>
      <c r="GH3001" s="84"/>
    </row>
    <row r="3002" spans="187:190" s="2" customFormat="1" ht="18" customHeight="1" x14ac:dyDescent="0.2">
      <c r="GE3002" s="84"/>
      <c r="GF3002" s="84"/>
      <c r="GG3002" s="84"/>
      <c r="GH3002" s="84"/>
    </row>
    <row r="3003" spans="187:190" s="2" customFormat="1" ht="18" customHeight="1" x14ac:dyDescent="0.2">
      <c r="GE3003" s="84"/>
      <c r="GF3003" s="84"/>
      <c r="GG3003" s="84"/>
      <c r="GH3003" s="84"/>
    </row>
    <row r="3004" spans="187:190" s="2" customFormat="1" ht="18" customHeight="1" x14ac:dyDescent="0.2">
      <c r="GE3004" s="84"/>
      <c r="GF3004" s="84"/>
      <c r="GG3004" s="84"/>
      <c r="GH3004" s="84"/>
    </row>
    <row r="3005" spans="187:190" s="2" customFormat="1" ht="18" customHeight="1" x14ac:dyDescent="0.2">
      <c r="GE3005" s="84"/>
      <c r="GF3005" s="84"/>
      <c r="GG3005" s="84"/>
      <c r="GH3005" s="84"/>
    </row>
    <row r="3006" spans="187:190" s="2" customFormat="1" ht="18" customHeight="1" x14ac:dyDescent="0.2">
      <c r="GE3006" s="84"/>
      <c r="GF3006" s="84"/>
      <c r="GG3006" s="84"/>
      <c r="GH3006" s="84"/>
    </row>
    <row r="3007" spans="187:190" s="2" customFormat="1" ht="18" customHeight="1" x14ac:dyDescent="0.2">
      <c r="GE3007" s="84"/>
      <c r="GF3007" s="84"/>
      <c r="GG3007" s="84"/>
      <c r="GH3007" s="84"/>
    </row>
    <row r="3008" spans="187:190" s="2" customFormat="1" ht="18" customHeight="1" x14ac:dyDescent="0.2">
      <c r="GE3008" s="84"/>
      <c r="GF3008" s="84"/>
      <c r="GG3008" s="84"/>
      <c r="GH3008" s="84"/>
    </row>
    <row r="3009" spans="187:190" s="2" customFormat="1" ht="18" customHeight="1" x14ac:dyDescent="0.2">
      <c r="GE3009" s="84"/>
      <c r="GF3009" s="84"/>
      <c r="GG3009" s="84"/>
      <c r="GH3009" s="84"/>
    </row>
    <row r="3010" spans="187:190" s="2" customFormat="1" ht="18" customHeight="1" x14ac:dyDescent="0.2">
      <c r="GE3010" s="84"/>
      <c r="GF3010" s="84"/>
      <c r="GG3010" s="84"/>
      <c r="GH3010" s="84"/>
    </row>
    <row r="3011" spans="187:190" s="2" customFormat="1" ht="18" customHeight="1" x14ac:dyDescent="0.2">
      <c r="GE3011" s="84"/>
      <c r="GF3011" s="84"/>
      <c r="GG3011" s="84"/>
      <c r="GH3011" s="84"/>
    </row>
    <row r="3012" spans="187:190" s="2" customFormat="1" ht="18" customHeight="1" x14ac:dyDescent="0.2">
      <c r="GE3012" s="84"/>
      <c r="GF3012" s="84"/>
      <c r="GG3012" s="84"/>
      <c r="GH3012" s="84"/>
    </row>
    <row r="3013" spans="187:190" s="2" customFormat="1" ht="18" customHeight="1" x14ac:dyDescent="0.2">
      <c r="GE3013" s="84"/>
      <c r="GF3013" s="84"/>
      <c r="GG3013" s="84"/>
      <c r="GH3013" s="84"/>
    </row>
    <row r="3014" spans="187:190" s="2" customFormat="1" ht="18" customHeight="1" x14ac:dyDescent="0.2">
      <c r="GE3014" s="84"/>
      <c r="GF3014" s="84"/>
      <c r="GG3014" s="84"/>
      <c r="GH3014" s="84"/>
    </row>
    <row r="3015" spans="187:190" s="2" customFormat="1" ht="18" customHeight="1" x14ac:dyDescent="0.2">
      <c r="GE3015" s="84"/>
      <c r="GF3015" s="84"/>
      <c r="GG3015" s="84"/>
      <c r="GH3015" s="84"/>
    </row>
    <row r="3016" spans="187:190" s="2" customFormat="1" ht="18" customHeight="1" x14ac:dyDescent="0.2">
      <c r="GE3016" s="84"/>
      <c r="GF3016" s="84"/>
      <c r="GG3016" s="84"/>
      <c r="GH3016" s="84"/>
    </row>
    <row r="3017" spans="187:190" s="2" customFormat="1" ht="18" customHeight="1" x14ac:dyDescent="0.2">
      <c r="GE3017" s="84"/>
      <c r="GF3017" s="84"/>
      <c r="GG3017" s="84"/>
      <c r="GH3017" s="84"/>
    </row>
    <row r="3018" spans="187:190" s="2" customFormat="1" ht="18" customHeight="1" x14ac:dyDescent="0.2">
      <c r="GE3018" s="84"/>
      <c r="GF3018" s="84"/>
      <c r="GG3018" s="84"/>
      <c r="GH3018" s="84"/>
    </row>
    <row r="3019" spans="187:190" s="2" customFormat="1" ht="18" customHeight="1" x14ac:dyDescent="0.2">
      <c r="GE3019" s="84"/>
      <c r="GF3019" s="84"/>
      <c r="GG3019" s="84"/>
      <c r="GH3019" s="84"/>
    </row>
    <row r="3020" spans="187:190" s="2" customFormat="1" ht="18" customHeight="1" x14ac:dyDescent="0.2">
      <c r="GE3020" s="84"/>
      <c r="GF3020" s="84"/>
      <c r="GG3020" s="84"/>
      <c r="GH3020" s="84"/>
    </row>
    <row r="3021" spans="187:190" s="2" customFormat="1" ht="18" customHeight="1" x14ac:dyDescent="0.2">
      <c r="GE3021" s="84"/>
      <c r="GF3021" s="84"/>
      <c r="GG3021" s="84"/>
      <c r="GH3021" s="84"/>
    </row>
    <row r="3022" spans="187:190" s="2" customFormat="1" ht="18" customHeight="1" x14ac:dyDescent="0.2">
      <c r="GE3022" s="84"/>
      <c r="GF3022" s="84"/>
      <c r="GG3022" s="84"/>
      <c r="GH3022" s="84"/>
    </row>
    <row r="3023" spans="187:190" s="2" customFormat="1" ht="18" customHeight="1" x14ac:dyDescent="0.2">
      <c r="GE3023" s="84"/>
      <c r="GF3023" s="84"/>
      <c r="GG3023" s="84"/>
      <c r="GH3023" s="84"/>
    </row>
    <row r="3024" spans="187:190" s="2" customFormat="1" ht="18" customHeight="1" x14ac:dyDescent="0.2">
      <c r="GE3024" s="84"/>
      <c r="GF3024" s="84"/>
      <c r="GG3024" s="84"/>
      <c r="GH3024" s="84"/>
    </row>
    <row r="3025" spans="187:190" s="2" customFormat="1" ht="18" customHeight="1" x14ac:dyDescent="0.2">
      <c r="GE3025" s="84"/>
      <c r="GF3025" s="84"/>
      <c r="GG3025" s="84"/>
      <c r="GH3025" s="84"/>
    </row>
    <row r="3026" spans="187:190" s="2" customFormat="1" ht="18" customHeight="1" x14ac:dyDescent="0.2">
      <c r="GE3026" s="84"/>
      <c r="GF3026" s="84"/>
      <c r="GG3026" s="84"/>
      <c r="GH3026" s="84"/>
    </row>
    <row r="3027" spans="187:190" s="2" customFormat="1" ht="18" customHeight="1" x14ac:dyDescent="0.2">
      <c r="GE3027" s="84"/>
      <c r="GF3027" s="84"/>
      <c r="GG3027" s="84"/>
      <c r="GH3027" s="84"/>
    </row>
    <row r="3028" spans="187:190" s="2" customFormat="1" ht="18" customHeight="1" x14ac:dyDescent="0.2">
      <c r="GE3028" s="84"/>
      <c r="GF3028" s="84"/>
      <c r="GG3028" s="84"/>
      <c r="GH3028" s="84"/>
    </row>
    <row r="3029" spans="187:190" s="2" customFormat="1" ht="18" customHeight="1" x14ac:dyDescent="0.2">
      <c r="GE3029" s="84"/>
      <c r="GF3029" s="84"/>
      <c r="GG3029" s="84"/>
      <c r="GH3029" s="84"/>
    </row>
    <row r="3030" spans="187:190" s="2" customFormat="1" ht="18" customHeight="1" x14ac:dyDescent="0.2">
      <c r="GE3030" s="84"/>
      <c r="GF3030" s="84"/>
      <c r="GG3030" s="84"/>
      <c r="GH3030" s="84"/>
    </row>
    <row r="3031" spans="187:190" s="2" customFormat="1" ht="18" customHeight="1" x14ac:dyDescent="0.2">
      <c r="GE3031" s="84"/>
      <c r="GF3031" s="84"/>
      <c r="GG3031" s="84"/>
      <c r="GH3031" s="84"/>
    </row>
    <row r="3032" spans="187:190" s="2" customFormat="1" ht="18" customHeight="1" x14ac:dyDescent="0.2">
      <c r="GE3032" s="84"/>
      <c r="GF3032" s="84"/>
      <c r="GG3032" s="84"/>
      <c r="GH3032" s="84"/>
    </row>
    <row r="3033" spans="187:190" s="2" customFormat="1" ht="18" customHeight="1" x14ac:dyDescent="0.2">
      <c r="GE3033" s="84"/>
      <c r="GF3033" s="84"/>
      <c r="GG3033" s="84"/>
      <c r="GH3033" s="84"/>
    </row>
    <row r="3034" spans="187:190" s="2" customFormat="1" ht="18" customHeight="1" x14ac:dyDescent="0.2">
      <c r="GE3034" s="84"/>
      <c r="GF3034" s="84"/>
      <c r="GG3034" s="84"/>
      <c r="GH3034" s="84"/>
    </row>
    <row r="3035" spans="187:190" s="2" customFormat="1" ht="18" customHeight="1" x14ac:dyDescent="0.2">
      <c r="GE3035" s="84"/>
      <c r="GF3035" s="84"/>
      <c r="GG3035" s="84"/>
      <c r="GH3035" s="84"/>
    </row>
    <row r="3036" spans="187:190" s="2" customFormat="1" ht="18" customHeight="1" x14ac:dyDescent="0.2">
      <c r="GE3036" s="84"/>
      <c r="GF3036" s="84"/>
      <c r="GG3036" s="84"/>
      <c r="GH3036" s="84"/>
    </row>
    <row r="3037" spans="187:190" s="2" customFormat="1" ht="18" customHeight="1" x14ac:dyDescent="0.2">
      <c r="GE3037" s="84"/>
      <c r="GF3037" s="84"/>
      <c r="GG3037" s="84"/>
      <c r="GH3037" s="84"/>
    </row>
    <row r="3038" spans="187:190" s="2" customFormat="1" ht="18" customHeight="1" x14ac:dyDescent="0.2">
      <c r="GE3038" s="84"/>
      <c r="GF3038" s="84"/>
      <c r="GG3038" s="84"/>
      <c r="GH3038" s="84"/>
    </row>
    <row r="3039" spans="187:190" s="2" customFormat="1" ht="18" customHeight="1" x14ac:dyDescent="0.2">
      <c r="GE3039" s="84"/>
      <c r="GF3039" s="84"/>
      <c r="GG3039" s="84"/>
      <c r="GH3039" s="84"/>
    </row>
    <row r="3040" spans="187:190" s="2" customFormat="1" ht="18" customHeight="1" x14ac:dyDescent="0.2">
      <c r="GE3040" s="84"/>
      <c r="GF3040" s="84"/>
      <c r="GG3040" s="84"/>
      <c r="GH3040" s="84"/>
    </row>
    <row r="3041" spans="187:190" s="2" customFormat="1" ht="18" customHeight="1" x14ac:dyDescent="0.2">
      <c r="GE3041" s="84"/>
      <c r="GF3041" s="84"/>
      <c r="GG3041" s="84"/>
      <c r="GH3041" s="84"/>
    </row>
    <row r="3042" spans="187:190" s="2" customFormat="1" ht="18" customHeight="1" x14ac:dyDescent="0.2">
      <c r="GE3042" s="84"/>
      <c r="GF3042" s="84"/>
      <c r="GG3042" s="84"/>
      <c r="GH3042" s="84"/>
    </row>
    <row r="3043" spans="187:190" s="2" customFormat="1" ht="18" customHeight="1" x14ac:dyDescent="0.2">
      <c r="GE3043" s="84"/>
      <c r="GF3043" s="84"/>
      <c r="GG3043" s="84"/>
      <c r="GH3043" s="84"/>
    </row>
    <row r="3044" spans="187:190" s="2" customFormat="1" ht="18" customHeight="1" x14ac:dyDescent="0.2">
      <c r="GE3044" s="84"/>
      <c r="GF3044" s="84"/>
      <c r="GG3044" s="84"/>
      <c r="GH3044" s="84"/>
    </row>
    <row r="3045" spans="187:190" s="2" customFormat="1" ht="18" customHeight="1" x14ac:dyDescent="0.2">
      <c r="GE3045" s="84"/>
      <c r="GF3045" s="84"/>
      <c r="GG3045" s="84"/>
      <c r="GH3045" s="84"/>
    </row>
    <row r="3046" spans="187:190" s="2" customFormat="1" ht="18" customHeight="1" x14ac:dyDescent="0.2">
      <c r="GE3046" s="84"/>
      <c r="GF3046" s="84"/>
      <c r="GG3046" s="84"/>
      <c r="GH3046" s="84"/>
    </row>
    <row r="3047" spans="187:190" s="2" customFormat="1" ht="18" customHeight="1" x14ac:dyDescent="0.2">
      <c r="GE3047" s="84"/>
      <c r="GF3047" s="84"/>
      <c r="GG3047" s="84"/>
      <c r="GH3047" s="84"/>
    </row>
    <row r="3048" spans="187:190" s="2" customFormat="1" ht="18" customHeight="1" x14ac:dyDescent="0.2">
      <c r="GE3048" s="84"/>
      <c r="GF3048" s="84"/>
      <c r="GG3048" s="84"/>
      <c r="GH3048" s="84"/>
    </row>
    <row r="3049" spans="187:190" s="2" customFormat="1" ht="18" customHeight="1" x14ac:dyDescent="0.2">
      <c r="GE3049" s="84"/>
      <c r="GF3049" s="84"/>
      <c r="GG3049" s="84"/>
      <c r="GH3049" s="84"/>
    </row>
    <row r="3050" spans="187:190" s="2" customFormat="1" ht="18" customHeight="1" x14ac:dyDescent="0.2">
      <c r="GE3050" s="84"/>
      <c r="GF3050" s="84"/>
      <c r="GG3050" s="84"/>
      <c r="GH3050" s="84"/>
    </row>
    <row r="3051" spans="187:190" s="2" customFormat="1" ht="18" customHeight="1" x14ac:dyDescent="0.2">
      <c r="GE3051" s="84"/>
      <c r="GF3051" s="84"/>
      <c r="GG3051" s="84"/>
      <c r="GH3051" s="84"/>
    </row>
    <row r="3052" spans="187:190" s="2" customFormat="1" ht="18" customHeight="1" x14ac:dyDescent="0.2">
      <c r="GE3052" s="84"/>
      <c r="GF3052" s="84"/>
      <c r="GG3052" s="84"/>
      <c r="GH3052" s="84"/>
    </row>
    <row r="3053" spans="187:190" s="2" customFormat="1" ht="18" customHeight="1" x14ac:dyDescent="0.2">
      <c r="GE3053" s="84"/>
      <c r="GF3053" s="84"/>
      <c r="GG3053" s="84"/>
      <c r="GH3053" s="84"/>
    </row>
    <row r="3054" spans="187:190" s="2" customFormat="1" ht="18" customHeight="1" x14ac:dyDescent="0.2">
      <c r="GE3054" s="84"/>
      <c r="GF3054" s="84"/>
      <c r="GG3054" s="84"/>
      <c r="GH3054" s="84"/>
    </row>
    <row r="3055" spans="187:190" s="2" customFormat="1" ht="18" customHeight="1" x14ac:dyDescent="0.2">
      <c r="GE3055" s="84"/>
      <c r="GF3055" s="84"/>
      <c r="GG3055" s="84"/>
      <c r="GH3055" s="84"/>
    </row>
    <row r="3056" spans="187:190" s="2" customFormat="1" ht="18" customHeight="1" x14ac:dyDescent="0.2">
      <c r="GE3056" s="84"/>
      <c r="GF3056" s="84"/>
      <c r="GG3056" s="84"/>
      <c r="GH3056" s="84"/>
    </row>
    <row r="3057" spans="187:190" s="2" customFormat="1" ht="18" customHeight="1" x14ac:dyDescent="0.2">
      <c r="GE3057" s="84"/>
      <c r="GF3057" s="84"/>
      <c r="GG3057" s="84"/>
      <c r="GH3057" s="84"/>
    </row>
    <row r="3058" spans="187:190" s="2" customFormat="1" ht="18" customHeight="1" x14ac:dyDescent="0.2">
      <c r="GE3058" s="84"/>
      <c r="GF3058" s="84"/>
      <c r="GG3058" s="84"/>
      <c r="GH3058" s="84"/>
    </row>
    <row r="3059" spans="187:190" s="2" customFormat="1" ht="18" customHeight="1" x14ac:dyDescent="0.2">
      <c r="GE3059" s="84"/>
      <c r="GF3059" s="84"/>
      <c r="GG3059" s="84"/>
      <c r="GH3059" s="84"/>
    </row>
    <row r="3060" spans="187:190" s="2" customFormat="1" ht="18" customHeight="1" x14ac:dyDescent="0.2">
      <c r="GE3060" s="84"/>
      <c r="GF3060" s="84"/>
      <c r="GG3060" s="84"/>
      <c r="GH3060" s="84"/>
    </row>
    <row r="3061" spans="187:190" s="2" customFormat="1" ht="18" customHeight="1" x14ac:dyDescent="0.2">
      <c r="GE3061" s="84"/>
      <c r="GF3061" s="84"/>
      <c r="GG3061" s="84"/>
      <c r="GH3061" s="84"/>
    </row>
    <row r="3062" spans="187:190" s="2" customFormat="1" ht="18" customHeight="1" x14ac:dyDescent="0.2">
      <c r="GE3062" s="84"/>
      <c r="GF3062" s="84"/>
      <c r="GG3062" s="84"/>
      <c r="GH3062" s="84"/>
    </row>
    <row r="3063" spans="187:190" s="2" customFormat="1" ht="18" customHeight="1" x14ac:dyDescent="0.2">
      <c r="GE3063" s="84"/>
      <c r="GF3063" s="84"/>
      <c r="GG3063" s="84"/>
      <c r="GH3063" s="84"/>
    </row>
    <row r="3064" spans="187:190" s="2" customFormat="1" ht="18" customHeight="1" x14ac:dyDescent="0.2">
      <c r="GE3064" s="84"/>
      <c r="GF3064" s="84"/>
      <c r="GG3064" s="84"/>
      <c r="GH3064" s="84"/>
    </row>
    <row r="3065" spans="187:190" s="2" customFormat="1" ht="18" customHeight="1" x14ac:dyDescent="0.2">
      <c r="GE3065" s="84"/>
      <c r="GF3065" s="84"/>
      <c r="GG3065" s="84"/>
      <c r="GH3065" s="84"/>
    </row>
    <row r="3066" spans="187:190" s="2" customFormat="1" ht="18" customHeight="1" x14ac:dyDescent="0.2">
      <c r="GE3066" s="84"/>
      <c r="GF3066" s="84"/>
      <c r="GG3066" s="84"/>
      <c r="GH3066" s="84"/>
    </row>
    <row r="3067" spans="187:190" s="2" customFormat="1" ht="18" customHeight="1" x14ac:dyDescent="0.2">
      <c r="GE3067" s="84"/>
      <c r="GF3067" s="84"/>
      <c r="GG3067" s="84"/>
      <c r="GH3067" s="84"/>
    </row>
    <row r="3068" spans="187:190" s="2" customFormat="1" ht="18" customHeight="1" x14ac:dyDescent="0.2">
      <c r="GE3068" s="84"/>
      <c r="GF3068" s="84"/>
      <c r="GG3068" s="84"/>
      <c r="GH3068" s="84"/>
    </row>
    <row r="3069" spans="187:190" s="2" customFormat="1" ht="18" customHeight="1" x14ac:dyDescent="0.2">
      <c r="GE3069" s="84"/>
      <c r="GF3069" s="84"/>
      <c r="GG3069" s="84"/>
      <c r="GH3069" s="84"/>
    </row>
    <row r="3070" spans="187:190" s="2" customFormat="1" ht="18" customHeight="1" x14ac:dyDescent="0.2">
      <c r="GE3070" s="84"/>
      <c r="GF3070" s="84"/>
      <c r="GG3070" s="84"/>
      <c r="GH3070" s="84"/>
    </row>
    <row r="3071" spans="187:190" s="2" customFormat="1" ht="18" customHeight="1" x14ac:dyDescent="0.2">
      <c r="GE3071" s="84"/>
      <c r="GF3071" s="84"/>
      <c r="GG3071" s="84"/>
      <c r="GH3071" s="84"/>
    </row>
    <row r="3072" spans="187:190" s="2" customFormat="1" ht="18" customHeight="1" x14ac:dyDescent="0.2">
      <c r="GE3072" s="84"/>
      <c r="GF3072" s="84"/>
      <c r="GG3072" s="84"/>
      <c r="GH3072" s="84"/>
    </row>
    <row r="3073" spans="187:190" s="2" customFormat="1" ht="18" customHeight="1" x14ac:dyDescent="0.2">
      <c r="GE3073" s="84"/>
      <c r="GF3073" s="84"/>
      <c r="GG3073" s="84"/>
      <c r="GH3073" s="84"/>
    </row>
    <row r="3074" spans="187:190" s="2" customFormat="1" ht="18" customHeight="1" x14ac:dyDescent="0.2">
      <c r="GE3074" s="84"/>
      <c r="GF3074" s="84"/>
      <c r="GG3074" s="84"/>
      <c r="GH3074" s="84"/>
    </row>
    <row r="3075" spans="187:190" s="2" customFormat="1" ht="18" customHeight="1" x14ac:dyDescent="0.2">
      <c r="GE3075" s="84"/>
      <c r="GF3075" s="84"/>
      <c r="GG3075" s="84"/>
      <c r="GH3075" s="84"/>
    </row>
    <row r="3076" spans="187:190" s="2" customFormat="1" ht="18" customHeight="1" x14ac:dyDescent="0.2">
      <c r="GE3076" s="84"/>
      <c r="GF3076" s="84"/>
      <c r="GG3076" s="84"/>
      <c r="GH3076" s="84"/>
    </row>
    <row r="3077" spans="187:190" s="2" customFormat="1" ht="18" customHeight="1" x14ac:dyDescent="0.2">
      <c r="GE3077" s="84"/>
      <c r="GF3077" s="84"/>
      <c r="GG3077" s="84"/>
      <c r="GH3077" s="84"/>
    </row>
    <row r="3078" spans="187:190" s="2" customFormat="1" ht="18" customHeight="1" x14ac:dyDescent="0.2">
      <c r="GE3078" s="84"/>
      <c r="GF3078" s="84"/>
      <c r="GG3078" s="84"/>
      <c r="GH3078" s="84"/>
    </row>
    <row r="3079" spans="187:190" s="2" customFormat="1" ht="18" customHeight="1" x14ac:dyDescent="0.2">
      <c r="GE3079" s="84"/>
      <c r="GF3079" s="84"/>
      <c r="GG3079" s="84"/>
      <c r="GH3079" s="84"/>
    </row>
    <row r="3080" spans="187:190" s="2" customFormat="1" ht="18" customHeight="1" x14ac:dyDescent="0.2">
      <c r="GE3080" s="84"/>
      <c r="GF3080" s="84"/>
      <c r="GG3080" s="84"/>
      <c r="GH3080" s="84"/>
    </row>
    <row r="3081" spans="187:190" s="2" customFormat="1" ht="18" customHeight="1" x14ac:dyDescent="0.2">
      <c r="GE3081" s="84"/>
      <c r="GF3081" s="84"/>
      <c r="GG3081" s="84"/>
      <c r="GH3081" s="84"/>
    </row>
    <row r="3082" spans="187:190" s="2" customFormat="1" ht="18" customHeight="1" x14ac:dyDescent="0.2">
      <c r="GE3082" s="84"/>
      <c r="GF3082" s="84"/>
      <c r="GG3082" s="84"/>
      <c r="GH3082" s="84"/>
    </row>
    <row r="3083" spans="187:190" s="2" customFormat="1" ht="18" customHeight="1" x14ac:dyDescent="0.2">
      <c r="GE3083" s="84"/>
      <c r="GF3083" s="84"/>
      <c r="GG3083" s="84"/>
      <c r="GH3083" s="84"/>
    </row>
    <row r="3084" spans="187:190" s="2" customFormat="1" ht="18" customHeight="1" x14ac:dyDescent="0.2">
      <c r="GE3084" s="84"/>
      <c r="GF3084" s="84"/>
      <c r="GG3084" s="84"/>
      <c r="GH3084" s="84"/>
    </row>
    <row r="3085" spans="187:190" s="2" customFormat="1" ht="18" customHeight="1" x14ac:dyDescent="0.2">
      <c r="GE3085" s="84"/>
      <c r="GF3085" s="84"/>
      <c r="GG3085" s="84"/>
      <c r="GH3085" s="84"/>
    </row>
    <row r="3086" spans="187:190" s="2" customFormat="1" ht="18" customHeight="1" x14ac:dyDescent="0.2">
      <c r="GE3086" s="84"/>
      <c r="GF3086" s="84"/>
      <c r="GG3086" s="84"/>
      <c r="GH3086" s="84"/>
    </row>
    <row r="3087" spans="187:190" s="2" customFormat="1" ht="18" customHeight="1" x14ac:dyDescent="0.2">
      <c r="GE3087" s="84"/>
      <c r="GF3087" s="84"/>
      <c r="GG3087" s="84"/>
      <c r="GH3087" s="84"/>
    </row>
    <row r="3088" spans="187:190" s="2" customFormat="1" ht="18" customHeight="1" x14ac:dyDescent="0.2">
      <c r="GE3088" s="84"/>
      <c r="GF3088" s="84"/>
      <c r="GG3088" s="84"/>
      <c r="GH3088" s="84"/>
    </row>
    <row r="3089" spans="187:190" s="2" customFormat="1" ht="18" customHeight="1" x14ac:dyDescent="0.2">
      <c r="GE3089" s="84"/>
      <c r="GF3089" s="84"/>
      <c r="GG3089" s="84"/>
      <c r="GH3089" s="84"/>
    </row>
    <row r="3090" spans="187:190" s="2" customFormat="1" ht="18" customHeight="1" x14ac:dyDescent="0.2">
      <c r="GE3090" s="84"/>
      <c r="GF3090" s="84"/>
      <c r="GG3090" s="84"/>
      <c r="GH3090" s="84"/>
    </row>
    <row r="3091" spans="187:190" s="2" customFormat="1" ht="18" customHeight="1" x14ac:dyDescent="0.2">
      <c r="GE3091" s="84"/>
      <c r="GF3091" s="84"/>
      <c r="GG3091" s="84"/>
      <c r="GH3091" s="84"/>
    </row>
    <row r="3092" spans="187:190" s="2" customFormat="1" ht="18" customHeight="1" x14ac:dyDescent="0.2">
      <c r="GE3092" s="84"/>
      <c r="GF3092" s="84"/>
      <c r="GG3092" s="84"/>
      <c r="GH3092" s="84"/>
    </row>
    <row r="3093" spans="187:190" s="2" customFormat="1" ht="18" customHeight="1" x14ac:dyDescent="0.2">
      <c r="GE3093" s="84"/>
      <c r="GF3093" s="84"/>
      <c r="GG3093" s="84"/>
      <c r="GH3093" s="84"/>
    </row>
    <row r="3094" spans="187:190" s="2" customFormat="1" ht="18" customHeight="1" x14ac:dyDescent="0.2">
      <c r="GE3094" s="84"/>
      <c r="GF3094" s="84"/>
      <c r="GG3094" s="84"/>
      <c r="GH3094" s="84"/>
    </row>
    <row r="3095" spans="187:190" s="2" customFormat="1" ht="18" customHeight="1" x14ac:dyDescent="0.2">
      <c r="GE3095" s="84"/>
      <c r="GF3095" s="84"/>
      <c r="GG3095" s="84"/>
      <c r="GH3095" s="84"/>
    </row>
    <row r="3096" spans="187:190" s="2" customFormat="1" ht="18" customHeight="1" x14ac:dyDescent="0.2">
      <c r="GE3096" s="84"/>
      <c r="GF3096" s="84"/>
      <c r="GG3096" s="84"/>
      <c r="GH3096" s="84"/>
    </row>
    <row r="3097" spans="187:190" s="2" customFormat="1" ht="18" customHeight="1" x14ac:dyDescent="0.2">
      <c r="GE3097" s="84"/>
      <c r="GF3097" s="84"/>
      <c r="GG3097" s="84"/>
      <c r="GH3097" s="84"/>
    </row>
    <row r="3098" spans="187:190" s="2" customFormat="1" ht="18" customHeight="1" x14ac:dyDescent="0.2">
      <c r="GE3098" s="84"/>
      <c r="GF3098" s="84"/>
      <c r="GG3098" s="84"/>
      <c r="GH3098" s="84"/>
    </row>
    <row r="3099" spans="187:190" s="2" customFormat="1" ht="18" customHeight="1" x14ac:dyDescent="0.2">
      <c r="GE3099" s="84"/>
      <c r="GF3099" s="84"/>
      <c r="GG3099" s="84"/>
      <c r="GH3099" s="84"/>
    </row>
    <row r="3100" spans="187:190" s="2" customFormat="1" ht="18" customHeight="1" x14ac:dyDescent="0.2">
      <c r="GE3100" s="84"/>
      <c r="GF3100" s="84"/>
      <c r="GG3100" s="84"/>
      <c r="GH3100" s="84"/>
    </row>
    <row r="3101" spans="187:190" s="2" customFormat="1" ht="18" customHeight="1" x14ac:dyDescent="0.2">
      <c r="GE3101" s="84"/>
      <c r="GF3101" s="84"/>
      <c r="GG3101" s="84"/>
      <c r="GH3101" s="84"/>
    </row>
    <row r="3102" spans="187:190" s="2" customFormat="1" ht="18" customHeight="1" x14ac:dyDescent="0.2">
      <c r="GE3102" s="84"/>
      <c r="GF3102" s="84"/>
      <c r="GG3102" s="84"/>
      <c r="GH3102" s="84"/>
    </row>
    <row r="3103" spans="187:190" s="2" customFormat="1" ht="18" customHeight="1" x14ac:dyDescent="0.2">
      <c r="GE3103" s="84"/>
      <c r="GF3103" s="84"/>
      <c r="GG3103" s="84"/>
      <c r="GH3103" s="84"/>
    </row>
    <row r="3104" spans="187:190" s="2" customFormat="1" ht="18" customHeight="1" x14ac:dyDescent="0.2">
      <c r="GE3104" s="84"/>
      <c r="GF3104" s="84"/>
      <c r="GG3104" s="84"/>
      <c r="GH3104" s="84"/>
    </row>
    <row r="3105" spans="187:190" s="2" customFormat="1" ht="18" customHeight="1" x14ac:dyDescent="0.2">
      <c r="GE3105" s="84"/>
      <c r="GF3105" s="84"/>
      <c r="GG3105" s="84"/>
      <c r="GH3105" s="84"/>
    </row>
    <row r="3106" spans="187:190" s="2" customFormat="1" ht="18" customHeight="1" x14ac:dyDescent="0.2">
      <c r="GE3106" s="84"/>
      <c r="GF3106" s="84"/>
      <c r="GG3106" s="84"/>
      <c r="GH3106" s="84"/>
    </row>
    <row r="3107" spans="187:190" s="2" customFormat="1" ht="18" customHeight="1" x14ac:dyDescent="0.2">
      <c r="GE3107" s="84"/>
      <c r="GF3107" s="84"/>
      <c r="GG3107" s="84"/>
      <c r="GH3107" s="84"/>
    </row>
    <row r="3108" spans="187:190" s="2" customFormat="1" ht="18" customHeight="1" x14ac:dyDescent="0.2">
      <c r="GE3108" s="84"/>
      <c r="GF3108" s="84"/>
      <c r="GG3108" s="84"/>
      <c r="GH3108" s="84"/>
    </row>
    <row r="3109" spans="187:190" s="2" customFormat="1" ht="18" customHeight="1" x14ac:dyDescent="0.2">
      <c r="GE3109" s="84"/>
      <c r="GF3109" s="84"/>
      <c r="GG3109" s="84"/>
      <c r="GH3109" s="84"/>
    </row>
    <row r="3110" spans="187:190" s="2" customFormat="1" ht="18" customHeight="1" x14ac:dyDescent="0.2">
      <c r="GE3110" s="84"/>
      <c r="GF3110" s="84"/>
      <c r="GG3110" s="84"/>
      <c r="GH3110" s="84"/>
    </row>
    <row r="3111" spans="187:190" s="2" customFormat="1" ht="18" customHeight="1" x14ac:dyDescent="0.2">
      <c r="GE3111" s="84"/>
      <c r="GF3111" s="84"/>
      <c r="GG3111" s="84"/>
      <c r="GH3111" s="84"/>
    </row>
    <row r="3112" spans="187:190" s="2" customFormat="1" ht="18" customHeight="1" x14ac:dyDescent="0.2">
      <c r="GE3112" s="84"/>
      <c r="GF3112" s="84"/>
      <c r="GG3112" s="84"/>
      <c r="GH3112" s="84"/>
    </row>
    <row r="3113" spans="187:190" s="2" customFormat="1" ht="18" customHeight="1" x14ac:dyDescent="0.2">
      <c r="GE3113" s="84"/>
      <c r="GF3113" s="84"/>
      <c r="GG3113" s="84"/>
      <c r="GH3113" s="84"/>
    </row>
    <row r="3114" spans="187:190" s="2" customFormat="1" ht="18" customHeight="1" x14ac:dyDescent="0.2">
      <c r="GE3114" s="84"/>
      <c r="GF3114" s="84"/>
      <c r="GG3114" s="84"/>
      <c r="GH3114" s="84"/>
    </row>
    <row r="3115" spans="187:190" s="2" customFormat="1" ht="18" customHeight="1" x14ac:dyDescent="0.2">
      <c r="GE3115" s="84"/>
      <c r="GF3115" s="84"/>
      <c r="GG3115" s="84"/>
      <c r="GH3115" s="84"/>
    </row>
    <row r="3116" spans="187:190" s="2" customFormat="1" ht="18" customHeight="1" x14ac:dyDescent="0.2">
      <c r="GE3116" s="84"/>
      <c r="GF3116" s="84"/>
      <c r="GG3116" s="84"/>
      <c r="GH3116" s="84"/>
    </row>
    <row r="3117" spans="187:190" s="2" customFormat="1" ht="18" customHeight="1" x14ac:dyDescent="0.2">
      <c r="GE3117" s="84"/>
      <c r="GF3117" s="84"/>
      <c r="GG3117" s="84"/>
      <c r="GH3117" s="84"/>
    </row>
    <row r="3118" spans="187:190" s="2" customFormat="1" ht="18" customHeight="1" x14ac:dyDescent="0.2">
      <c r="GE3118" s="84"/>
      <c r="GF3118" s="84"/>
      <c r="GG3118" s="84"/>
      <c r="GH3118" s="84"/>
    </row>
    <row r="3119" spans="187:190" s="2" customFormat="1" ht="18" customHeight="1" x14ac:dyDescent="0.2">
      <c r="GE3119" s="84"/>
      <c r="GF3119" s="84"/>
      <c r="GG3119" s="84"/>
      <c r="GH3119" s="84"/>
    </row>
    <row r="3120" spans="187:190" s="2" customFormat="1" ht="18" customHeight="1" x14ac:dyDescent="0.2">
      <c r="GE3120" s="84"/>
      <c r="GF3120" s="84"/>
      <c r="GG3120" s="84"/>
      <c r="GH3120" s="84"/>
    </row>
    <row r="3121" spans="187:190" s="2" customFormat="1" ht="18" customHeight="1" x14ac:dyDescent="0.2">
      <c r="GE3121" s="84"/>
      <c r="GF3121" s="84"/>
      <c r="GG3121" s="84"/>
      <c r="GH3121" s="84"/>
    </row>
    <row r="3122" spans="187:190" s="2" customFormat="1" ht="18" customHeight="1" x14ac:dyDescent="0.2">
      <c r="GE3122" s="84"/>
      <c r="GF3122" s="84"/>
      <c r="GG3122" s="84"/>
      <c r="GH3122" s="84"/>
    </row>
    <row r="3123" spans="187:190" s="2" customFormat="1" ht="18" customHeight="1" x14ac:dyDescent="0.2">
      <c r="GE3123" s="84"/>
      <c r="GF3123" s="84"/>
      <c r="GG3123" s="84"/>
      <c r="GH3123" s="84"/>
    </row>
    <row r="3124" spans="187:190" s="2" customFormat="1" ht="18" customHeight="1" x14ac:dyDescent="0.2">
      <c r="GE3124" s="84"/>
      <c r="GF3124" s="84"/>
      <c r="GG3124" s="84"/>
      <c r="GH3124" s="84"/>
    </row>
    <row r="3125" spans="187:190" s="2" customFormat="1" ht="18" customHeight="1" x14ac:dyDescent="0.2">
      <c r="GE3125" s="84"/>
      <c r="GF3125" s="84"/>
      <c r="GG3125" s="84"/>
      <c r="GH3125" s="84"/>
    </row>
    <row r="3126" spans="187:190" s="2" customFormat="1" ht="18" customHeight="1" x14ac:dyDescent="0.2">
      <c r="GE3126" s="84"/>
      <c r="GF3126" s="84"/>
      <c r="GG3126" s="84"/>
      <c r="GH3126" s="84"/>
    </row>
    <row r="3127" spans="187:190" s="2" customFormat="1" ht="18" customHeight="1" x14ac:dyDescent="0.2">
      <c r="GE3127" s="84"/>
      <c r="GF3127" s="84"/>
      <c r="GG3127" s="84"/>
      <c r="GH3127" s="84"/>
    </row>
    <row r="3128" spans="187:190" s="2" customFormat="1" ht="18" customHeight="1" x14ac:dyDescent="0.2">
      <c r="GE3128" s="84"/>
      <c r="GF3128" s="84"/>
      <c r="GG3128" s="84"/>
      <c r="GH3128" s="84"/>
    </row>
    <row r="3129" spans="187:190" s="2" customFormat="1" ht="18" customHeight="1" x14ac:dyDescent="0.2">
      <c r="GE3129" s="84"/>
      <c r="GF3129" s="84"/>
      <c r="GG3129" s="84"/>
      <c r="GH3129" s="84"/>
    </row>
    <row r="3130" spans="187:190" s="2" customFormat="1" ht="18" customHeight="1" x14ac:dyDescent="0.2">
      <c r="GE3130" s="84"/>
      <c r="GF3130" s="84"/>
      <c r="GG3130" s="84"/>
      <c r="GH3130" s="84"/>
    </row>
    <row r="3131" spans="187:190" s="2" customFormat="1" ht="18" customHeight="1" x14ac:dyDescent="0.2">
      <c r="GE3131" s="84"/>
      <c r="GF3131" s="84"/>
      <c r="GG3131" s="84"/>
      <c r="GH3131" s="84"/>
    </row>
    <row r="3132" spans="187:190" s="2" customFormat="1" ht="18" customHeight="1" x14ac:dyDescent="0.2">
      <c r="GE3132" s="84"/>
      <c r="GF3132" s="84"/>
      <c r="GG3132" s="84"/>
      <c r="GH3132" s="84"/>
    </row>
    <row r="3133" spans="187:190" s="2" customFormat="1" ht="18" customHeight="1" x14ac:dyDescent="0.2">
      <c r="GE3133" s="84"/>
      <c r="GF3133" s="84"/>
      <c r="GG3133" s="84"/>
      <c r="GH3133" s="84"/>
    </row>
    <row r="3134" spans="187:190" s="2" customFormat="1" ht="18" customHeight="1" x14ac:dyDescent="0.2">
      <c r="GE3134" s="84"/>
      <c r="GF3134" s="84"/>
      <c r="GG3134" s="84"/>
      <c r="GH3134" s="84"/>
    </row>
    <row r="3135" spans="187:190" s="2" customFormat="1" ht="18" customHeight="1" x14ac:dyDescent="0.2">
      <c r="GE3135" s="84"/>
      <c r="GF3135" s="84"/>
      <c r="GG3135" s="84"/>
      <c r="GH3135" s="84"/>
    </row>
    <row r="3136" spans="187:190" s="2" customFormat="1" ht="18" customHeight="1" x14ac:dyDescent="0.2">
      <c r="GE3136" s="84"/>
      <c r="GF3136" s="84"/>
      <c r="GG3136" s="84"/>
      <c r="GH3136" s="84"/>
    </row>
    <row r="3137" spans="187:190" s="2" customFormat="1" ht="18" customHeight="1" x14ac:dyDescent="0.2">
      <c r="GE3137" s="84"/>
      <c r="GF3137" s="84"/>
      <c r="GG3137" s="84"/>
      <c r="GH3137" s="84"/>
    </row>
    <row r="3138" spans="187:190" s="2" customFormat="1" ht="18" customHeight="1" x14ac:dyDescent="0.2">
      <c r="GE3138" s="84"/>
      <c r="GF3138" s="84"/>
      <c r="GG3138" s="84"/>
      <c r="GH3138" s="84"/>
    </row>
    <row r="3139" spans="187:190" s="2" customFormat="1" ht="18" customHeight="1" x14ac:dyDescent="0.2">
      <c r="GE3139" s="84"/>
      <c r="GF3139" s="84"/>
      <c r="GG3139" s="84"/>
      <c r="GH3139" s="84"/>
    </row>
    <row r="3140" spans="187:190" s="2" customFormat="1" ht="18" customHeight="1" x14ac:dyDescent="0.2">
      <c r="GE3140" s="84"/>
      <c r="GF3140" s="84"/>
      <c r="GG3140" s="84"/>
      <c r="GH3140" s="84"/>
    </row>
    <row r="3141" spans="187:190" s="2" customFormat="1" ht="18" customHeight="1" x14ac:dyDescent="0.2">
      <c r="GE3141" s="84"/>
      <c r="GF3141" s="84"/>
      <c r="GG3141" s="84"/>
      <c r="GH3141" s="84"/>
    </row>
    <row r="3142" spans="187:190" s="2" customFormat="1" ht="18" customHeight="1" x14ac:dyDescent="0.2">
      <c r="GE3142" s="84"/>
      <c r="GF3142" s="84"/>
      <c r="GG3142" s="84"/>
      <c r="GH3142" s="84"/>
    </row>
    <row r="3143" spans="187:190" s="2" customFormat="1" ht="18" customHeight="1" x14ac:dyDescent="0.2">
      <c r="GE3143" s="84"/>
      <c r="GF3143" s="84"/>
      <c r="GG3143" s="84"/>
      <c r="GH3143" s="84"/>
    </row>
    <row r="3144" spans="187:190" s="2" customFormat="1" ht="18" customHeight="1" x14ac:dyDescent="0.2">
      <c r="GE3144" s="84"/>
      <c r="GF3144" s="84"/>
      <c r="GG3144" s="84"/>
      <c r="GH3144" s="84"/>
    </row>
    <row r="3145" spans="187:190" s="2" customFormat="1" ht="18" customHeight="1" x14ac:dyDescent="0.2">
      <c r="GE3145" s="84"/>
      <c r="GF3145" s="84"/>
      <c r="GG3145" s="84"/>
      <c r="GH3145" s="84"/>
    </row>
    <row r="3146" spans="187:190" s="2" customFormat="1" ht="18" customHeight="1" x14ac:dyDescent="0.2">
      <c r="GE3146" s="84"/>
      <c r="GF3146" s="84"/>
      <c r="GG3146" s="84"/>
      <c r="GH3146" s="84"/>
    </row>
    <row r="3147" spans="187:190" s="2" customFormat="1" ht="18" customHeight="1" x14ac:dyDescent="0.2">
      <c r="GE3147" s="84"/>
      <c r="GF3147" s="84"/>
      <c r="GG3147" s="84"/>
      <c r="GH3147" s="84"/>
    </row>
    <row r="3148" spans="187:190" s="2" customFormat="1" ht="18" customHeight="1" x14ac:dyDescent="0.2">
      <c r="GE3148" s="84"/>
      <c r="GF3148" s="84"/>
      <c r="GG3148" s="84"/>
      <c r="GH3148" s="84"/>
    </row>
    <row r="3149" spans="187:190" s="2" customFormat="1" ht="18" customHeight="1" x14ac:dyDescent="0.2">
      <c r="GE3149" s="84"/>
      <c r="GF3149" s="84"/>
      <c r="GG3149" s="84"/>
      <c r="GH3149" s="84"/>
    </row>
    <row r="3150" spans="187:190" s="2" customFormat="1" ht="18" customHeight="1" x14ac:dyDescent="0.2">
      <c r="GE3150" s="84"/>
      <c r="GF3150" s="84"/>
      <c r="GG3150" s="84"/>
      <c r="GH3150" s="84"/>
    </row>
    <row r="3151" spans="187:190" s="2" customFormat="1" ht="18" customHeight="1" x14ac:dyDescent="0.2">
      <c r="GE3151" s="84"/>
      <c r="GF3151" s="84"/>
      <c r="GG3151" s="84"/>
      <c r="GH3151" s="84"/>
    </row>
    <row r="3152" spans="187:190" s="2" customFormat="1" ht="18" customHeight="1" x14ac:dyDescent="0.2">
      <c r="GE3152" s="84"/>
      <c r="GF3152" s="84"/>
      <c r="GG3152" s="84"/>
      <c r="GH3152" s="84"/>
    </row>
    <row r="3153" spans="187:190" s="2" customFormat="1" ht="18" customHeight="1" x14ac:dyDescent="0.2">
      <c r="GE3153" s="84"/>
      <c r="GF3153" s="84"/>
      <c r="GG3153" s="84"/>
      <c r="GH3153" s="84"/>
    </row>
    <row r="3154" spans="187:190" s="2" customFormat="1" ht="18" customHeight="1" x14ac:dyDescent="0.2">
      <c r="GE3154" s="84"/>
      <c r="GF3154" s="84"/>
      <c r="GG3154" s="84"/>
      <c r="GH3154" s="84"/>
    </row>
    <row r="3155" spans="187:190" s="2" customFormat="1" ht="18" customHeight="1" x14ac:dyDescent="0.2">
      <c r="GE3155" s="84"/>
      <c r="GF3155" s="84"/>
      <c r="GG3155" s="84"/>
      <c r="GH3155" s="84"/>
    </row>
    <row r="3156" spans="187:190" s="2" customFormat="1" ht="18" customHeight="1" x14ac:dyDescent="0.2">
      <c r="GE3156" s="84"/>
      <c r="GF3156" s="84"/>
      <c r="GG3156" s="84"/>
      <c r="GH3156" s="84"/>
    </row>
    <row r="3157" spans="187:190" s="2" customFormat="1" ht="18" customHeight="1" x14ac:dyDescent="0.2">
      <c r="GE3157" s="84"/>
      <c r="GF3157" s="84"/>
      <c r="GG3157" s="84"/>
      <c r="GH3157" s="84"/>
    </row>
    <row r="3158" spans="187:190" s="2" customFormat="1" ht="18" customHeight="1" x14ac:dyDescent="0.2">
      <c r="GE3158" s="84"/>
      <c r="GF3158" s="84"/>
      <c r="GG3158" s="84"/>
      <c r="GH3158" s="84"/>
    </row>
    <row r="3159" spans="187:190" s="2" customFormat="1" ht="18" customHeight="1" x14ac:dyDescent="0.2">
      <c r="GE3159" s="84"/>
      <c r="GF3159" s="84"/>
      <c r="GG3159" s="84"/>
      <c r="GH3159" s="84"/>
    </row>
    <row r="3160" spans="187:190" s="2" customFormat="1" ht="18" customHeight="1" x14ac:dyDescent="0.2">
      <c r="GE3160" s="84"/>
      <c r="GF3160" s="84"/>
      <c r="GG3160" s="84"/>
      <c r="GH3160" s="84"/>
    </row>
    <row r="3161" spans="187:190" s="2" customFormat="1" ht="18" customHeight="1" x14ac:dyDescent="0.2">
      <c r="GE3161" s="84"/>
      <c r="GF3161" s="84"/>
      <c r="GG3161" s="84"/>
      <c r="GH3161" s="84"/>
    </row>
    <row r="3162" spans="187:190" s="2" customFormat="1" ht="18" customHeight="1" x14ac:dyDescent="0.2">
      <c r="GE3162" s="84"/>
      <c r="GF3162" s="84"/>
      <c r="GG3162" s="84"/>
      <c r="GH3162" s="84"/>
    </row>
    <row r="3163" spans="187:190" s="2" customFormat="1" ht="18" customHeight="1" x14ac:dyDescent="0.2">
      <c r="GE3163" s="84"/>
      <c r="GF3163" s="84"/>
      <c r="GG3163" s="84"/>
      <c r="GH3163" s="84"/>
    </row>
    <row r="3164" spans="187:190" s="2" customFormat="1" ht="18" customHeight="1" x14ac:dyDescent="0.2">
      <c r="GE3164" s="84"/>
      <c r="GF3164" s="84"/>
      <c r="GG3164" s="84"/>
      <c r="GH3164" s="84"/>
    </row>
    <row r="3165" spans="187:190" s="2" customFormat="1" ht="18" customHeight="1" x14ac:dyDescent="0.2">
      <c r="GE3165" s="84"/>
      <c r="GF3165" s="84"/>
      <c r="GG3165" s="84"/>
      <c r="GH3165" s="84"/>
    </row>
    <row r="3166" spans="187:190" s="2" customFormat="1" ht="18" customHeight="1" x14ac:dyDescent="0.2">
      <c r="GE3166" s="84"/>
      <c r="GF3166" s="84"/>
      <c r="GG3166" s="84"/>
      <c r="GH3166" s="84"/>
    </row>
    <row r="3167" spans="187:190" s="2" customFormat="1" ht="18" customHeight="1" x14ac:dyDescent="0.2">
      <c r="GE3167" s="84"/>
      <c r="GF3167" s="84"/>
      <c r="GG3167" s="84"/>
      <c r="GH3167" s="84"/>
    </row>
    <row r="3168" spans="187:190" s="2" customFormat="1" ht="18" customHeight="1" x14ac:dyDescent="0.2">
      <c r="GE3168" s="84"/>
      <c r="GF3168" s="84"/>
      <c r="GG3168" s="84"/>
      <c r="GH3168" s="84"/>
    </row>
    <row r="3169" spans="187:190" s="2" customFormat="1" ht="18" customHeight="1" x14ac:dyDescent="0.2">
      <c r="GE3169" s="84"/>
      <c r="GF3169" s="84"/>
      <c r="GG3169" s="84"/>
      <c r="GH3169" s="84"/>
    </row>
    <row r="3170" spans="187:190" s="2" customFormat="1" ht="18" customHeight="1" x14ac:dyDescent="0.2">
      <c r="GE3170" s="84"/>
      <c r="GF3170" s="84"/>
      <c r="GG3170" s="84"/>
      <c r="GH3170" s="84"/>
    </row>
    <row r="3171" spans="187:190" s="2" customFormat="1" ht="18" customHeight="1" x14ac:dyDescent="0.2">
      <c r="GE3171" s="84"/>
      <c r="GF3171" s="84"/>
      <c r="GG3171" s="84"/>
      <c r="GH3171" s="84"/>
    </row>
    <row r="3172" spans="187:190" s="2" customFormat="1" ht="18" customHeight="1" x14ac:dyDescent="0.2">
      <c r="GE3172" s="84"/>
      <c r="GF3172" s="84"/>
      <c r="GG3172" s="84"/>
      <c r="GH3172" s="84"/>
    </row>
    <row r="3173" spans="187:190" s="2" customFormat="1" ht="18" customHeight="1" x14ac:dyDescent="0.2">
      <c r="GE3173" s="84"/>
      <c r="GF3173" s="84"/>
      <c r="GG3173" s="84"/>
      <c r="GH3173" s="84"/>
    </row>
    <row r="3174" spans="187:190" s="2" customFormat="1" ht="18" customHeight="1" x14ac:dyDescent="0.2">
      <c r="GE3174" s="84"/>
      <c r="GF3174" s="84"/>
      <c r="GG3174" s="84"/>
      <c r="GH3174" s="84"/>
    </row>
    <row r="3175" spans="187:190" s="2" customFormat="1" ht="18" customHeight="1" x14ac:dyDescent="0.2">
      <c r="GE3175" s="84"/>
      <c r="GF3175" s="84"/>
      <c r="GG3175" s="84"/>
      <c r="GH3175" s="84"/>
    </row>
    <row r="3176" spans="187:190" s="2" customFormat="1" ht="18" customHeight="1" x14ac:dyDescent="0.2">
      <c r="GE3176" s="84"/>
      <c r="GF3176" s="84"/>
      <c r="GG3176" s="84"/>
      <c r="GH3176" s="84"/>
    </row>
    <row r="3177" spans="187:190" s="2" customFormat="1" ht="18" customHeight="1" x14ac:dyDescent="0.2">
      <c r="GE3177" s="84"/>
      <c r="GF3177" s="84"/>
      <c r="GG3177" s="84"/>
      <c r="GH3177" s="84"/>
    </row>
    <row r="3178" spans="187:190" s="2" customFormat="1" ht="18" customHeight="1" x14ac:dyDescent="0.2">
      <c r="GE3178" s="84"/>
      <c r="GF3178" s="84"/>
      <c r="GG3178" s="84"/>
      <c r="GH3178" s="84"/>
    </row>
    <row r="3179" spans="187:190" s="2" customFormat="1" ht="18" customHeight="1" x14ac:dyDescent="0.2">
      <c r="GE3179" s="84"/>
      <c r="GF3179" s="84"/>
      <c r="GG3179" s="84"/>
      <c r="GH3179" s="84"/>
    </row>
    <row r="3180" spans="187:190" s="2" customFormat="1" ht="18" customHeight="1" x14ac:dyDescent="0.2">
      <c r="GE3180" s="84"/>
      <c r="GF3180" s="84"/>
      <c r="GG3180" s="84"/>
      <c r="GH3180" s="84"/>
    </row>
    <row r="3181" spans="187:190" s="2" customFormat="1" ht="18" customHeight="1" x14ac:dyDescent="0.2">
      <c r="GE3181" s="84"/>
      <c r="GF3181" s="84"/>
      <c r="GG3181" s="84"/>
      <c r="GH3181" s="84"/>
    </row>
    <row r="3182" spans="187:190" s="2" customFormat="1" ht="18" customHeight="1" x14ac:dyDescent="0.2">
      <c r="GE3182" s="84"/>
      <c r="GF3182" s="84"/>
      <c r="GG3182" s="84"/>
      <c r="GH3182" s="84"/>
    </row>
    <row r="3183" spans="187:190" s="2" customFormat="1" ht="18" customHeight="1" x14ac:dyDescent="0.2">
      <c r="GE3183" s="84"/>
      <c r="GF3183" s="84"/>
      <c r="GG3183" s="84"/>
      <c r="GH3183" s="84"/>
    </row>
    <row r="3184" spans="187:190" s="2" customFormat="1" ht="18" customHeight="1" x14ac:dyDescent="0.2">
      <c r="GE3184" s="84"/>
      <c r="GF3184" s="84"/>
      <c r="GG3184" s="84"/>
      <c r="GH3184" s="84"/>
    </row>
    <row r="3185" spans="187:190" s="2" customFormat="1" ht="18" customHeight="1" x14ac:dyDescent="0.2">
      <c r="GE3185" s="84"/>
      <c r="GF3185" s="84"/>
      <c r="GG3185" s="84"/>
      <c r="GH3185" s="84"/>
    </row>
    <row r="3186" spans="187:190" s="2" customFormat="1" ht="18" customHeight="1" x14ac:dyDescent="0.2">
      <c r="GE3186" s="84"/>
      <c r="GF3186" s="84"/>
      <c r="GG3186" s="84"/>
      <c r="GH3186" s="84"/>
    </row>
    <row r="3187" spans="187:190" s="2" customFormat="1" ht="18" customHeight="1" x14ac:dyDescent="0.2">
      <c r="GE3187" s="84"/>
      <c r="GF3187" s="84"/>
      <c r="GG3187" s="84"/>
      <c r="GH3187" s="84"/>
    </row>
    <row r="3188" spans="187:190" s="2" customFormat="1" ht="18" customHeight="1" x14ac:dyDescent="0.2">
      <c r="GE3188" s="84"/>
      <c r="GF3188" s="84"/>
      <c r="GG3188" s="84"/>
      <c r="GH3188" s="84"/>
    </row>
    <row r="3189" spans="187:190" s="2" customFormat="1" ht="18" customHeight="1" x14ac:dyDescent="0.2">
      <c r="GE3189" s="84"/>
      <c r="GF3189" s="84"/>
      <c r="GG3189" s="84"/>
      <c r="GH3189" s="84"/>
    </row>
    <row r="3190" spans="187:190" s="2" customFormat="1" ht="18" customHeight="1" x14ac:dyDescent="0.2">
      <c r="GE3190" s="84"/>
      <c r="GF3190" s="84"/>
      <c r="GG3190" s="84"/>
      <c r="GH3190" s="84"/>
    </row>
    <row r="3191" spans="187:190" s="2" customFormat="1" ht="18" customHeight="1" x14ac:dyDescent="0.2">
      <c r="GE3191" s="84"/>
      <c r="GF3191" s="84"/>
      <c r="GG3191" s="84"/>
      <c r="GH3191" s="84"/>
    </row>
    <row r="3192" spans="187:190" s="2" customFormat="1" ht="18" customHeight="1" x14ac:dyDescent="0.2">
      <c r="GE3192" s="84"/>
      <c r="GF3192" s="84"/>
      <c r="GG3192" s="84"/>
      <c r="GH3192" s="84"/>
    </row>
    <row r="3193" spans="187:190" s="2" customFormat="1" ht="18" customHeight="1" x14ac:dyDescent="0.2">
      <c r="GE3193" s="84"/>
      <c r="GF3193" s="84"/>
      <c r="GG3193" s="84"/>
      <c r="GH3193" s="84"/>
    </row>
    <row r="3194" spans="187:190" s="2" customFormat="1" ht="18" customHeight="1" x14ac:dyDescent="0.2">
      <c r="GE3194" s="84"/>
      <c r="GF3194" s="84"/>
      <c r="GG3194" s="84"/>
      <c r="GH3194" s="84"/>
    </row>
    <row r="3195" spans="187:190" s="2" customFormat="1" ht="18" customHeight="1" x14ac:dyDescent="0.2">
      <c r="GE3195" s="84"/>
      <c r="GF3195" s="84"/>
      <c r="GG3195" s="84"/>
      <c r="GH3195" s="84"/>
    </row>
    <row r="3196" spans="187:190" s="2" customFormat="1" ht="18" customHeight="1" x14ac:dyDescent="0.2">
      <c r="GE3196" s="84"/>
      <c r="GF3196" s="84"/>
      <c r="GG3196" s="84"/>
      <c r="GH3196" s="84"/>
    </row>
    <row r="3197" spans="187:190" s="2" customFormat="1" ht="18" customHeight="1" x14ac:dyDescent="0.2">
      <c r="GE3197" s="84"/>
      <c r="GF3197" s="84"/>
      <c r="GG3197" s="84"/>
      <c r="GH3197" s="84"/>
    </row>
    <row r="3198" spans="187:190" s="2" customFormat="1" ht="18" customHeight="1" x14ac:dyDescent="0.2">
      <c r="GE3198" s="84"/>
      <c r="GF3198" s="84"/>
      <c r="GG3198" s="84"/>
      <c r="GH3198" s="84"/>
    </row>
    <row r="3199" spans="187:190" s="2" customFormat="1" ht="18" customHeight="1" x14ac:dyDescent="0.2">
      <c r="GE3199" s="84"/>
      <c r="GF3199" s="84"/>
      <c r="GG3199" s="84"/>
      <c r="GH3199" s="84"/>
    </row>
    <row r="3200" spans="187:190" s="2" customFormat="1" ht="18" customHeight="1" x14ac:dyDescent="0.2">
      <c r="GE3200" s="84"/>
      <c r="GF3200" s="84"/>
      <c r="GG3200" s="84"/>
      <c r="GH3200" s="84"/>
    </row>
    <row r="3201" spans="187:190" s="2" customFormat="1" ht="18" customHeight="1" x14ac:dyDescent="0.2">
      <c r="GE3201" s="84"/>
      <c r="GF3201" s="84"/>
      <c r="GG3201" s="84"/>
      <c r="GH3201" s="84"/>
    </row>
    <row r="3202" spans="187:190" s="2" customFormat="1" ht="18" customHeight="1" x14ac:dyDescent="0.2">
      <c r="GE3202" s="84"/>
      <c r="GF3202" s="84"/>
      <c r="GG3202" s="84"/>
      <c r="GH3202" s="84"/>
    </row>
    <row r="3203" spans="187:190" s="2" customFormat="1" ht="18" customHeight="1" x14ac:dyDescent="0.2">
      <c r="GE3203" s="84"/>
      <c r="GF3203" s="84"/>
      <c r="GG3203" s="84"/>
      <c r="GH3203" s="84"/>
    </row>
    <row r="3204" spans="187:190" s="2" customFormat="1" ht="18" customHeight="1" x14ac:dyDescent="0.2">
      <c r="GE3204" s="84"/>
      <c r="GF3204" s="84"/>
      <c r="GG3204" s="84"/>
      <c r="GH3204" s="84"/>
    </row>
    <row r="3205" spans="187:190" s="2" customFormat="1" ht="18" customHeight="1" x14ac:dyDescent="0.2">
      <c r="GE3205" s="84"/>
      <c r="GF3205" s="84"/>
      <c r="GG3205" s="84"/>
      <c r="GH3205" s="84"/>
    </row>
    <row r="3206" spans="187:190" s="2" customFormat="1" ht="18" customHeight="1" x14ac:dyDescent="0.2">
      <c r="GE3206" s="84"/>
      <c r="GF3206" s="84"/>
      <c r="GG3206" s="84"/>
      <c r="GH3206" s="84"/>
    </row>
    <row r="3207" spans="187:190" s="2" customFormat="1" ht="18" customHeight="1" x14ac:dyDescent="0.2">
      <c r="GE3207" s="84"/>
      <c r="GF3207" s="84"/>
      <c r="GG3207" s="84"/>
      <c r="GH3207" s="84"/>
    </row>
    <row r="3208" spans="187:190" s="2" customFormat="1" ht="18" customHeight="1" x14ac:dyDescent="0.2">
      <c r="GE3208" s="84"/>
      <c r="GF3208" s="84"/>
      <c r="GG3208" s="84"/>
      <c r="GH3208" s="84"/>
    </row>
    <row r="3209" spans="187:190" s="2" customFormat="1" ht="18" customHeight="1" x14ac:dyDescent="0.2">
      <c r="GE3209" s="84"/>
      <c r="GF3209" s="84"/>
      <c r="GG3209" s="84"/>
      <c r="GH3209" s="84"/>
    </row>
    <row r="3210" spans="187:190" s="2" customFormat="1" ht="18" customHeight="1" x14ac:dyDescent="0.2">
      <c r="GE3210" s="84"/>
      <c r="GF3210" s="84"/>
      <c r="GG3210" s="84"/>
      <c r="GH3210" s="84"/>
    </row>
    <row r="3211" spans="187:190" s="2" customFormat="1" ht="18" customHeight="1" x14ac:dyDescent="0.2">
      <c r="GE3211" s="84"/>
      <c r="GF3211" s="84"/>
      <c r="GG3211" s="84"/>
      <c r="GH3211" s="84"/>
    </row>
    <row r="3212" spans="187:190" s="2" customFormat="1" ht="18" customHeight="1" x14ac:dyDescent="0.2">
      <c r="GE3212" s="84"/>
      <c r="GF3212" s="84"/>
      <c r="GG3212" s="84"/>
      <c r="GH3212" s="84"/>
    </row>
    <row r="3213" spans="187:190" s="2" customFormat="1" ht="18" customHeight="1" x14ac:dyDescent="0.2">
      <c r="GE3213" s="84"/>
      <c r="GF3213" s="84"/>
      <c r="GG3213" s="84"/>
      <c r="GH3213" s="84"/>
    </row>
    <row r="3214" spans="187:190" s="2" customFormat="1" ht="18" customHeight="1" x14ac:dyDescent="0.2">
      <c r="GE3214" s="84"/>
      <c r="GF3214" s="84"/>
      <c r="GG3214" s="84"/>
      <c r="GH3214" s="84"/>
    </row>
    <row r="3215" spans="187:190" s="2" customFormat="1" ht="18" customHeight="1" x14ac:dyDescent="0.2">
      <c r="GE3215" s="84"/>
      <c r="GF3215" s="84"/>
      <c r="GG3215" s="84"/>
      <c r="GH3215" s="84"/>
    </row>
    <row r="3216" spans="187:190" s="2" customFormat="1" ht="18" customHeight="1" x14ac:dyDescent="0.2">
      <c r="GE3216" s="84"/>
      <c r="GF3216" s="84"/>
      <c r="GG3216" s="84"/>
      <c r="GH3216" s="84"/>
    </row>
    <row r="3217" spans="187:190" s="2" customFormat="1" ht="18" customHeight="1" x14ac:dyDescent="0.2">
      <c r="GE3217" s="84"/>
      <c r="GF3217" s="84"/>
      <c r="GG3217" s="84"/>
      <c r="GH3217" s="84"/>
    </row>
    <row r="3218" spans="187:190" s="2" customFormat="1" ht="18" customHeight="1" x14ac:dyDescent="0.2">
      <c r="GE3218" s="84"/>
      <c r="GF3218" s="84"/>
      <c r="GG3218" s="84"/>
      <c r="GH3218" s="84"/>
    </row>
    <row r="3219" spans="187:190" s="2" customFormat="1" ht="18" customHeight="1" x14ac:dyDescent="0.2">
      <c r="GE3219" s="84"/>
      <c r="GF3219" s="84"/>
      <c r="GG3219" s="84"/>
      <c r="GH3219" s="84"/>
    </row>
    <row r="3220" spans="187:190" s="2" customFormat="1" ht="18" customHeight="1" x14ac:dyDescent="0.2">
      <c r="GE3220" s="84"/>
      <c r="GF3220" s="84"/>
      <c r="GG3220" s="84"/>
      <c r="GH3220" s="84"/>
    </row>
    <row r="3221" spans="187:190" s="2" customFormat="1" ht="18" customHeight="1" x14ac:dyDescent="0.2">
      <c r="GE3221" s="84"/>
      <c r="GF3221" s="84"/>
      <c r="GG3221" s="84"/>
      <c r="GH3221" s="84"/>
    </row>
    <row r="3222" spans="187:190" s="2" customFormat="1" ht="18" customHeight="1" x14ac:dyDescent="0.2">
      <c r="GE3222" s="84"/>
      <c r="GF3222" s="84"/>
      <c r="GG3222" s="84"/>
      <c r="GH3222" s="84"/>
    </row>
    <row r="3223" spans="187:190" s="2" customFormat="1" ht="18" customHeight="1" x14ac:dyDescent="0.2">
      <c r="GE3223" s="84"/>
      <c r="GF3223" s="84"/>
      <c r="GG3223" s="84"/>
      <c r="GH3223" s="84"/>
    </row>
    <row r="3224" spans="187:190" s="2" customFormat="1" ht="18" customHeight="1" x14ac:dyDescent="0.2">
      <c r="GE3224" s="84"/>
      <c r="GF3224" s="84"/>
      <c r="GG3224" s="84"/>
      <c r="GH3224" s="84"/>
    </row>
    <row r="3225" spans="187:190" s="2" customFormat="1" ht="18" customHeight="1" x14ac:dyDescent="0.2">
      <c r="GE3225" s="84"/>
      <c r="GF3225" s="84"/>
      <c r="GG3225" s="84"/>
      <c r="GH3225" s="84"/>
    </row>
    <row r="3226" spans="187:190" s="2" customFormat="1" ht="18" customHeight="1" x14ac:dyDescent="0.2">
      <c r="GE3226" s="84"/>
      <c r="GF3226" s="84"/>
      <c r="GG3226" s="84"/>
      <c r="GH3226" s="84"/>
    </row>
    <row r="3227" spans="187:190" s="2" customFormat="1" ht="18" customHeight="1" x14ac:dyDescent="0.2">
      <c r="GE3227" s="84"/>
      <c r="GF3227" s="84"/>
      <c r="GG3227" s="84"/>
      <c r="GH3227" s="84"/>
    </row>
    <row r="3228" spans="187:190" s="2" customFormat="1" ht="18" customHeight="1" x14ac:dyDescent="0.2">
      <c r="GE3228" s="84"/>
      <c r="GF3228" s="84"/>
      <c r="GG3228" s="84"/>
      <c r="GH3228" s="84"/>
    </row>
    <row r="3229" spans="187:190" s="2" customFormat="1" ht="18" customHeight="1" x14ac:dyDescent="0.2">
      <c r="GE3229" s="84"/>
      <c r="GF3229" s="84"/>
      <c r="GG3229" s="84"/>
      <c r="GH3229" s="84"/>
    </row>
    <row r="3230" spans="187:190" s="2" customFormat="1" ht="18" customHeight="1" x14ac:dyDescent="0.2">
      <c r="GE3230" s="84"/>
      <c r="GF3230" s="84"/>
      <c r="GG3230" s="84"/>
      <c r="GH3230" s="84"/>
    </row>
    <row r="3231" spans="187:190" s="2" customFormat="1" ht="18" customHeight="1" x14ac:dyDescent="0.2">
      <c r="GE3231" s="84"/>
      <c r="GF3231" s="84"/>
      <c r="GG3231" s="84"/>
      <c r="GH3231" s="84"/>
    </row>
    <row r="3232" spans="187:190" s="2" customFormat="1" ht="18" customHeight="1" x14ac:dyDescent="0.2">
      <c r="GE3232" s="84"/>
      <c r="GF3232" s="84"/>
      <c r="GG3232" s="84"/>
      <c r="GH3232" s="84"/>
    </row>
    <row r="3233" spans="187:190" s="2" customFormat="1" ht="18" customHeight="1" x14ac:dyDescent="0.2">
      <c r="GE3233" s="84"/>
      <c r="GF3233" s="84"/>
      <c r="GG3233" s="84"/>
      <c r="GH3233" s="84"/>
    </row>
    <row r="3234" spans="187:190" s="2" customFormat="1" ht="18" customHeight="1" x14ac:dyDescent="0.2">
      <c r="GE3234" s="84"/>
      <c r="GF3234" s="84"/>
      <c r="GG3234" s="84"/>
      <c r="GH3234" s="84"/>
    </row>
    <row r="3235" spans="187:190" s="2" customFormat="1" ht="18" customHeight="1" x14ac:dyDescent="0.2">
      <c r="GE3235" s="84"/>
      <c r="GF3235" s="84"/>
      <c r="GG3235" s="84"/>
      <c r="GH3235" s="84"/>
    </row>
    <row r="3236" spans="187:190" s="2" customFormat="1" ht="18" customHeight="1" x14ac:dyDescent="0.2">
      <c r="GE3236" s="84"/>
      <c r="GF3236" s="84"/>
      <c r="GG3236" s="84"/>
      <c r="GH3236" s="84"/>
    </row>
    <row r="3237" spans="187:190" s="2" customFormat="1" ht="18" customHeight="1" x14ac:dyDescent="0.2">
      <c r="GE3237" s="84"/>
      <c r="GF3237" s="84"/>
      <c r="GG3237" s="84"/>
      <c r="GH3237" s="84"/>
    </row>
    <row r="3238" spans="187:190" s="2" customFormat="1" ht="18" customHeight="1" x14ac:dyDescent="0.2">
      <c r="GE3238" s="84"/>
      <c r="GF3238" s="84"/>
      <c r="GG3238" s="84"/>
      <c r="GH3238" s="84"/>
    </row>
    <row r="3239" spans="187:190" s="2" customFormat="1" ht="18" customHeight="1" x14ac:dyDescent="0.2">
      <c r="GE3239" s="84"/>
      <c r="GF3239" s="84"/>
      <c r="GG3239" s="84"/>
      <c r="GH3239" s="84"/>
    </row>
    <row r="3240" spans="187:190" s="2" customFormat="1" ht="18" customHeight="1" x14ac:dyDescent="0.2">
      <c r="GE3240" s="84"/>
      <c r="GF3240" s="84"/>
      <c r="GG3240" s="84"/>
      <c r="GH3240" s="84"/>
    </row>
    <row r="3241" spans="187:190" s="2" customFormat="1" ht="18" customHeight="1" x14ac:dyDescent="0.2">
      <c r="GE3241" s="84"/>
      <c r="GF3241" s="84"/>
      <c r="GG3241" s="84"/>
      <c r="GH3241" s="84"/>
    </row>
    <row r="3242" spans="187:190" s="2" customFormat="1" ht="18" customHeight="1" x14ac:dyDescent="0.2">
      <c r="GE3242" s="84"/>
      <c r="GF3242" s="84"/>
      <c r="GG3242" s="84"/>
      <c r="GH3242" s="84"/>
    </row>
    <row r="3243" spans="187:190" s="2" customFormat="1" ht="18" customHeight="1" x14ac:dyDescent="0.2">
      <c r="GE3243" s="84"/>
      <c r="GF3243" s="84"/>
      <c r="GG3243" s="84"/>
      <c r="GH3243" s="84"/>
    </row>
    <row r="3244" spans="187:190" s="2" customFormat="1" ht="18" customHeight="1" x14ac:dyDescent="0.2">
      <c r="GE3244" s="84"/>
      <c r="GF3244" s="84"/>
      <c r="GG3244" s="84"/>
      <c r="GH3244" s="84"/>
    </row>
    <row r="3245" spans="187:190" s="2" customFormat="1" ht="18" customHeight="1" x14ac:dyDescent="0.2">
      <c r="GE3245" s="84"/>
      <c r="GF3245" s="84"/>
      <c r="GG3245" s="84"/>
      <c r="GH3245" s="84"/>
    </row>
    <row r="3246" spans="187:190" s="2" customFormat="1" ht="18" customHeight="1" x14ac:dyDescent="0.2">
      <c r="GE3246" s="84"/>
      <c r="GF3246" s="84"/>
      <c r="GG3246" s="84"/>
      <c r="GH3246" s="84"/>
    </row>
    <row r="3247" spans="187:190" s="2" customFormat="1" ht="18" customHeight="1" x14ac:dyDescent="0.2">
      <c r="GE3247" s="84"/>
      <c r="GF3247" s="84"/>
      <c r="GG3247" s="84"/>
      <c r="GH3247" s="84"/>
    </row>
    <row r="3248" spans="187:190" s="2" customFormat="1" ht="18" customHeight="1" x14ac:dyDescent="0.2">
      <c r="GE3248" s="84"/>
      <c r="GF3248" s="84"/>
      <c r="GG3248" s="84"/>
      <c r="GH3248" s="84"/>
    </row>
    <row r="3249" spans="187:190" s="2" customFormat="1" ht="18" customHeight="1" x14ac:dyDescent="0.2">
      <c r="GE3249" s="84"/>
      <c r="GF3249" s="84"/>
      <c r="GG3249" s="84"/>
      <c r="GH3249" s="84"/>
    </row>
    <row r="3250" spans="187:190" s="2" customFormat="1" ht="18" customHeight="1" x14ac:dyDescent="0.2">
      <c r="GE3250" s="84"/>
      <c r="GF3250" s="84"/>
      <c r="GG3250" s="84"/>
      <c r="GH3250" s="84"/>
    </row>
    <row r="3251" spans="187:190" s="2" customFormat="1" ht="18" customHeight="1" x14ac:dyDescent="0.2">
      <c r="GE3251" s="84"/>
      <c r="GF3251" s="84"/>
      <c r="GG3251" s="84"/>
      <c r="GH3251" s="84"/>
    </row>
    <row r="3252" spans="187:190" s="2" customFormat="1" ht="18" customHeight="1" x14ac:dyDescent="0.2">
      <c r="GE3252" s="84"/>
      <c r="GF3252" s="84"/>
      <c r="GG3252" s="84"/>
      <c r="GH3252" s="84"/>
    </row>
    <row r="3253" spans="187:190" s="2" customFormat="1" ht="18" customHeight="1" x14ac:dyDescent="0.2">
      <c r="GE3253" s="84"/>
      <c r="GF3253" s="84"/>
      <c r="GG3253" s="84"/>
      <c r="GH3253" s="84"/>
    </row>
    <row r="3254" spans="187:190" s="2" customFormat="1" ht="18" customHeight="1" x14ac:dyDescent="0.2">
      <c r="GE3254" s="84"/>
      <c r="GF3254" s="84"/>
      <c r="GG3254" s="84"/>
      <c r="GH3254" s="84"/>
    </row>
    <row r="3255" spans="187:190" s="2" customFormat="1" ht="18" customHeight="1" x14ac:dyDescent="0.2">
      <c r="GE3255" s="84"/>
      <c r="GF3255" s="84"/>
      <c r="GG3255" s="84"/>
      <c r="GH3255" s="84"/>
    </row>
    <row r="3256" spans="187:190" s="2" customFormat="1" ht="18" customHeight="1" x14ac:dyDescent="0.2">
      <c r="GE3256" s="84"/>
      <c r="GF3256" s="84"/>
      <c r="GG3256" s="84"/>
      <c r="GH3256" s="84"/>
    </row>
    <row r="3257" spans="187:190" s="2" customFormat="1" ht="18" customHeight="1" x14ac:dyDescent="0.2">
      <c r="GE3257" s="84"/>
      <c r="GF3257" s="84"/>
      <c r="GG3257" s="84"/>
      <c r="GH3257" s="84"/>
    </row>
    <row r="3258" spans="187:190" s="2" customFormat="1" ht="18" customHeight="1" x14ac:dyDescent="0.2">
      <c r="GE3258" s="84"/>
      <c r="GF3258" s="84"/>
      <c r="GG3258" s="84"/>
      <c r="GH3258" s="84"/>
    </row>
    <row r="3259" spans="187:190" s="2" customFormat="1" ht="18" customHeight="1" x14ac:dyDescent="0.2">
      <c r="GE3259" s="84"/>
      <c r="GF3259" s="84"/>
      <c r="GG3259" s="84"/>
      <c r="GH3259" s="84"/>
    </row>
    <row r="3260" spans="187:190" s="2" customFormat="1" ht="18" customHeight="1" x14ac:dyDescent="0.2">
      <c r="GE3260" s="84"/>
      <c r="GF3260" s="84"/>
      <c r="GG3260" s="84"/>
      <c r="GH3260" s="84"/>
    </row>
    <row r="3261" spans="187:190" s="2" customFormat="1" ht="18" customHeight="1" x14ac:dyDescent="0.2">
      <c r="GE3261" s="84"/>
      <c r="GF3261" s="84"/>
      <c r="GG3261" s="84"/>
      <c r="GH3261" s="84"/>
    </row>
    <row r="3262" spans="187:190" s="2" customFormat="1" ht="18" customHeight="1" x14ac:dyDescent="0.2">
      <c r="GE3262" s="84"/>
      <c r="GF3262" s="84"/>
      <c r="GG3262" s="84"/>
      <c r="GH3262" s="84"/>
    </row>
    <row r="3263" spans="187:190" s="2" customFormat="1" ht="18" customHeight="1" x14ac:dyDescent="0.2">
      <c r="GE3263" s="84"/>
      <c r="GF3263" s="84"/>
      <c r="GG3263" s="84"/>
      <c r="GH3263" s="84"/>
    </row>
    <row r="3264" spans="187:190" s="2" customFormat="1" ht="18" customHeight="1" x14ac:dyDescent="0.2">
      <c r="GE3264" s="84"/>
      <c r="GF3264" s="84"/>
      <c r="GG3264" s="84"/>
      <c r="GH3264" s="84"/>
    </row>
    <row r="3265" spans="187:190" s="2" customFormat="1" ht="18" customHeight="1" x14ac:dyDescent="0.2">
      <c r="GE3265" s="84"/>
      <c r="GF3265" s="84"/>
      <c r="GG3265" s="84"/>
      <c r="GH3265" s="84"/>
    </row>
    <row r="3266" spans="187:190" s="2" customFormat="1" ht="18" customHeight="1" x14ac:dyDescent="0.2">
      <c r="GE3266" s="84"/>
      <c r="GF3266" s="84"/>
      <c r="GG3266" s="84"/>
      <c r="GH3266" s="84"/>
    </row>
    <row r="3267" spans="187:190" s="2" customFormat="1" ht="18" customHeight="1" x14ac:dyDescent="0.2">
      <c r="GE3267" s="84"/>
      <c r="GF3267" s="84"/>
      <c r="GG3267" s="84"/>
      <c r="GH3267" s="84"/>
    </row>
    <row r="3268" spans="187:190" s="2" customFormat="1" ht="18" customHeight="1" x14ac:dyDescent="0.2">
      <c r="GE3268" s="84"/>
      <c r="GF3268" s="84"/>
      <c r="GG3268" s="84"/>
      <c r="GH3268" s="84"/>
    </row>
    <row r="3269" spans="187:190" s="2" customFormat="1" ht="18" customHeight="1" x14ac:dyDescent="0.2">
      <c r="GE3269" s="84"/>
      <c r="GF3269" s="84"/>
      <c r="GG3269" s="84"/>
      <c r="GH3269" s="84"/>
    </row>
    <row r="3270" spans="187:190" s="2" customFormat="1" ht="18" customHeight="1" x14ac:dyDescent="0.2">
      <c r="GE3270" s="84"/>
      <c r="GF3270" s="84"/>
      <c r="GG3270" s="84"/>
      <c r="GH3270" s="84"/>
    </row>
    <row r="3271" spans="187:190" s="2" customFormat="1" ht="18" customHeight="1" x14ac:dyDescent="0.2">
      <c r="GE3271" s="84"/>
      <c r="GF3271" s="84"/>
      <c r="GG3271" s="84"/>
      <c r="GH3271" s="84"/>
    </row>
    <row r="3272" spans="187:190" s="2" customFormat="1" ht="18" customHeight="1" x14ac:dyDescent="0.2">
      <c r="GE3272" s="84"/>
      <c r="GF3272" s="84"/>
      <c r="GG3272" s="84"/>
      <c r="GH3272" s="84"/>
    </row>
    <row r="3273" spans="187:190" s="2" customFormat="1" ht="18" customHeight="1" x14ac:dyDescent="0.2">
      <c r="GE3273" s="84"/>
      <c r="GF3273" s="84"/>
      <c r="GG3273" s="84"/>
      <c r="GH3273" s="84"/>
    </row>
    <row r="3274" spans="187:190" s="2" customFormat="1" ht="18" customHeight="1" x14ac:dyDescent="0.2">
      <c r="GE3274" s="84"/>
      <c r="GF3274" s="84"/>
      <c r="GG3274" s="84"/>
      <c r="GH3274" s="84"/>
    </row>
    <row r="3275" spans="187:190" s="2" customFormat="1" ht="18" customHeight="1" x14ac:dyDescent="0.2">
      <c r="GE3275" s="84"/>
      <c r="GF3275" s="84"/>
      <c r="GG3275" s="84"/>
      <c r="GH3275" s="84"/>
    </row>
    <row r="3276" spans="187:190" s="2" customFormat="1" ht="18" customHeight="1" x14ac:dyDescent="0.2">
      <c r="GE3276" s="84"/>
      <c r="GF3276" s="84"/>
      <c r="GG3276" s="84"/>
      <c r="GH3276" s="84"/>
    </row>
    <row r="3277" spans="187:190" s="2" customFormat="1" ht="18" customHeight="1" x14ac:dyDescent="0.2">
      <c r="GE3277" s="84"/>
      <c r="GF3277" s="84"/>
      <c r="GG3277" s="84"/>
      <c r="GH3277" s="84"/>
    </row>
    <row r="3278" spans="187:190" s="2" customFormat="1" ht="18" customHeight="1" x14ac:dyDescent="0.2">
      <c r="GE3278" s="84"/>
      <c r="GF3278" s="84"/>
      <c r="GG3278" s="84"/>
      <c r="GH3278" s="84"/>
    </row>
    <row r="3279" spans="187:190" s="2" customFormat="1" ht="18" customHeight="1" x14ac:dyDescent="0.2">
      <c r="GE3279" s="84"/>
      <c r="GF3279" s="84"/>
      <c r="GG3279" s="84"/>
      <c r="GH3279" s="84"/>
    </row>
    <row r="3280" spans="187:190" s="2" customFormat="1" ht="18" customHeight="1" x14ac:dyDescent="0.2">
      <c r="GE3280" s="84"/>
      <c r="GF3280" s="84"/>
      <c r="GG3280" s="84"/>
      <c r="GH3280" s="84"/>
    </row>
    <row r="3281" spans="187:190" s="2" customFormat="1" ht="18" customHeight="1" x14ac:dyDescent="0.2">
      <c r="GE3281" s="84"/>
      <c r="GF3281" s="84"/>
      <c r="GG3281" s="84"/>
      <c r="GH3281" s="84"/>
    </row>
    <row r="3282" spans="187:190" s="2" customFormat="1" ht="18" customHeight="1" x14ac:dyDescent="0.2">
      <c r="GE3282" s="84"/>
      <c r="GF3282" s="84"/>
      <c r="GG3282" s="84"/>
      <c r="GH3282" s="84"/>
    </row>
    <row r="3283" spans="187:190" s="2" customFormat="1" ht="18" customHeight="1" x14ac:dyDescent="0.2">
      <c r="GE3283" s="84"/>
      <c r="GF3283" s="84"/>
      <c r="GG3283" s="84"/>
      <c r="GH3283" s="84"/>
    </row>
    <row r="3284" spans="187:190" s="2" customFormat="1" ht="18" customHeight="1" x14ac:dyDescent="0.2">
      <c r="GE3284" s="84"/>
      <c r="GF3284" s="84"/>
      <c r="GG3284" s="84"/>
      <c r="GH3284" s="84"/>
    </row>
    <row r="3285" spans="187:190" s="2" customFormat="1" ht="18" customHeight="1" x14ac:dyDescent="0.2">
      <c r="GE3285" s="84"/>
      <c r="GF3285" s="84"/>
      <c r="GG3285" s="84"/>
      <c r="GH3285" s="84"/>
    </row>
    <row r="3286" spans="187:190" s="2" customFormat="1" ht="18" customHeight="1" x14ac:dyDescent="0.2">
      <c r="GE3286" s="84"/>
      <c r="GF3286" s="84"/>
      <c r="GG3286" s="84"/>
      <c r="GH3286" s="84"/>
    </row>
    <row r="3287" spans="187:190" s="2" customFormat="1" ht="18" customHeight="1" x14ac:dyDescent="0.2">
      <c r="GE3287" s="84"/>
      <c r="GF3287" s="84"/>
      <c r="GG3287" s="84"/>
      <c r="GH3287" s="84"/>
    </row>
    <row r="3288" spans="187:190" s="2" customFormat="1" ht="18" customHeight="1" x14ac:dyDescent="0.2">
      <c r="GE3288" s="84"/>
      <c r="GF3288" s="84"/>
      <c r="GG3288" s="84"/>
      <c r="GH3288" s="84"/>
    </row>
    <row r="3289" spans="187:190" s="2" customFormat="1" ht="18" customHeight="1" x14ac:dyDescent="0.2">
      <c r="GE3289" s="84"/>
      <c r="GF3289" s="84"/>
      <c r="GG3289" s="84"/>
      <c r="GH3289" s="84"/>
    </row>
    <row r="3290" spans="187:190" s="2" customFormat="1" ht="18" customHeight="1" x14ac:dyDescent="0.2">
      <c r="GE3290" s="84"/>
      <c r="GF3290" s="84"/>
      <c r="GG3290" s="84"/>
      <c r="GH3290" s="84"/>
    </row>
    <row r="3291" spans="187:190" s="2" customFormat="1" ht="18" customHeight="1" x14ac:dyDescent="0.2">
      <c r="GE3291" s="84"/>
      <c r="GF3291" s="84"/>
      <c r="GG3291" s="84"/>
      <c r="GH3291" s="84"/>
    </row>
    <row r="3292" spans="187:190" s="2" customFormat="1" ht="18" customHeight="1" x14ac:dyDescent="0.2">
      <c r="GE3292" s="84"/>
      <c r="GF3292" s="84"/>
      <c r="GG3292" s="84"/>
      <c r="GH3292" s="84"/>
    </row>
    <row r="3293" spans="187:190" s="2" customFormat="1" ht="18" customHeight="1" x14ac:dyDescent="0.2">
      <c r="GE3293" s="84"/>
      <c r="GF3293" s="84"/>
      <c r="GG3293" s="84"/>
      <c r="GH3293" s="84"/>
    </row>
    <row r="3294" spans="187:190" s="2" customFormat="1" ht="18" customHeight="1" x14ac:dyDescent="0.2">
      <c r="GE3294" s="84"/>
      <c r="GF3294" s="84"/>
      <c r="GG3294" s="84"/>
      <c r="GH3294" s="84"/>
    </row>
    <row r="3295" spans="187:190" s="2" customFormat="1" ht="18" customHeight="1" x14ac:dyDescent="0.2">
      <c r="GE3295" s="84"/>
      <c r="GF3295" s="84"/>
      <c r="GG3295" s="84"/>
      <c r="GH3295" s="84"/>
    </row>
    <row r="3296" spans="187:190" s="2" customFormat="1" ht="18" customHeight="1" x14ac:dyDescent="0.2">
      <c r="GE3296" s="84"/>
      <c r="GF3296" s="84"/>
      <c r="GG3296" s="84"/>
      <c r="GH3296" s="84"/>
    </row>
    <row r="3297" spans="187:190" s="2" customFormat="1" ht="18" customHeight="1" x14ac:dyDescent="0.2">
      <c r="GE3297" s="84"/>
      <c r="GF3297" s="84"/>
      <c r="GG3297" s="84"/>
      <c r="GH3297" s="84"/>
    </row>
    <row r="3298" spans="187:190" s="2" customFormat="1" ht="18" customHeight="1" x14ac:dyDescent="0.2">
      <c r="GE3298" s="84"/>
      <c r="GF3298" s="84"/>
      <c r="GG3298" s="84"/>
      <c r="GH3298" s="84"/>
    </row>
    <row r="3299" spans="187:190" s="2" customFormat="1" ht="18" customHeight="1" x14ac:dyDescent="0.2">
      <c r="GE3299" s="84"/>
      <c r="GF3299" s="84"/>
      <c r="GG3299" s="84"/>
      <c r="GH3299" s="84"/>
    </row>
    <row r="3300" spans="187:190" s="2" customFormat="1" ht="18" customHeight="1" x14ac:dyDescent="0.2">
      <c r="GE3300" s="84"/>
      <c r="GF3300" s="84"/>
      <c r="GG3300" s="84"/>
      <c r="GH3300" s="84"/>
    </row>
    <row r="3301" spans="187:190" s="2" customFormat="1" ht="18" customHeight="1" x14ac:dyDescent="0.2">
      <c r="GE3301" s="84"/>
      <c r="GF3301" s="84"/>
      <c r="GG3301" s="84"/>
      <c r="GH3301" s="84"/>
    </row>
    <row r="3302" spans="187:190" s="2" customFormat="1" ht="18" customHeight="1" x14ac:dyDescent="0.2">
      <c r="GE3302" s="84"/>
      <c r="GF3302" s="84"/>
      <c r="GG3302" s="84"/>
      <c r="GH3302" s="84"/>
    </row>
    <row r="3303" spans="187:190" s="2" customFormat="1" ht="18" customHeight="1" x14ac:dyDescent="0.2">
      <c r="GE3303" s="84"/>
      <c r="GF3303" s="84"/>
      <c r="GG3303" s="84"/>
      <c r="GH3303" s="84"/>
    </row>
    <row r="3304" spans="187:190" s="2" customFormat="1" ht="18" customHeight="1" x14ac:dyDescent="0.2">
      <c r="GE3304" s="84"/>
      <c r="GF3304" s="84"/>
      <c r="GG3304" s="84"/>
      <c r="GH3304" s="84"/>
    </row>
    <row r="3305" spans="187:190" s="2" customFormat="1" ht="18" customHeight="1" x14ac:dyDescent="0.2">
      <c r="GE3305" s="84"/>
      <c r="GF3305" s="84"/>
      <c r="GG3305" s="84"/>
      <c r="GH3305" s="84"/>
    </row>
    <row r="3306" spans="187:190" s="2" customFormat="1" ht="18" customHeight="1" x14ac:dyDescent="0.2">
      <c r="GE3306" s="84"/>
      <c r="GF3306" s="84"/>
      <c r="GG3306" s="84"/>
      <c r="GH3306" s="84"/>
    </row>
    <row r="3307" spans="187:190" s="2" customFormat="1" ht="18" customHeight="1" x14ac:dyDescent="0.2">
      <c r="GE3307" s="84"/>
      <c r="GF3307" s="84"/>
      <c r="GG3307" s="84"/>
      <c r="GH3307" s="84"/>
    </row>
    <row r="3308" spans="187:190" s="2" customFormat="1" ht="18" customHeight="1" x14ac:dyDescent="0.2">
      <c r="GE3308" s="84"/>
      <c r="GF3308" s="84"/>
      <c r="GG3308" s="84"/>
      <c r="GH3308" s="84"/>
    </row>
    <row r="3309" spans="187:190" s="2" customFormat="1" ht="18" customHeight="1" x14ac:dyDescent="0.2">
      <c r="GE3309" s="84"/>
      <c r="GF3309" s="84"/>
      <c r="GG3309" s="84"/>
      <c r="GH3309" s="84"/>
    </row>
    <row r="3310" spans="187:190" s="2" customFormat="1" ht="18" customHeight="1" x14ac:dyDescent="0.2">
      <c r="GE3310" s="84"/>
      <c r="GF3310" s="84"/>
      <c r="GG3310" s="84"/>
      <c r="GH3310" s="84"/>
    </row>
    <row r="3311" spans="187:190" s="2" customFormat="1" ht="18" customHeight="1" x14ac:dyDescent="0.2">
      <c r="GE3311" s="84"/>
      <c r="GF3311" s="84"/>
      <c r="GG3311" s="84"/>
      <c r="GH3311" s="84"/>
    </row>
    <row r="3312" spans="187:190" s="2" customFormat="1" ht="18" customHeight="1" x14ac:dyDescent="0.2">
      <c r="GE3312" s="84"/>
      <c r="GF3312" s="84"/>
      <c r="GG3312" s="84"/>
      <c r="GH3312" s="84"/>
    </row>
    <row r="3313" spans="187:190" s="2" customFormat="1" ht="18" customHeight="1" x14ac:dyDescent="0.2">
      <c r="GE3313" s="84"/>
      <c r="GF3313" s="84"/>
      <c r="GG3313" s="84"/>
      <c r="GH3313" s="84"/>
    </row>
    <row r="3314" spans="187:190" s="2" customFormat="1" ht="18" customHeight="1" x14ac:dyDescent="0.2">
      <c r="GE3314" s="84"/>
      <c r="GF3314" s="84"/>
      <c r="GG3314" s="84"/>
      <c r="GH3314" s="84"/>
    </row>
    <row r="3315" spans="187:190" s="2" customFormat="1" ht="18" customHeight="1" x14ac:dyDescent="0.2">
      <c r="GE3315" s="84"/>
      <c r="GF3315" s="84"/>
      <c r="GG3315" s="84"/>
      <c r="GH3315" s="84"/>
    </row>
    <row r="3316" spans="187:190" s="2" customFormat="1" ht="18" customHeight="1" x14ac:dyDescent="0.2">
      <c r="GE3316" s="84"/>
      <c r="GF3316" s="84"/>
      <c r="GG3316" s="84"/>
      <c r="GH3316" s="84"/>
    </row>
    <row r="3317" spans="187:190" s="2" customFormat="1" ht="18" customHeight="1" x14ac:dyDescent="0.2">
      <c r="GE3317" s="84"/>
      <c r="GF3317" s="84"/>
      <c r="GG3317" s="84"/>
      <c r="GH3317" s="84"/>
    </row>
    <row r="3318" spans="187:190" s="2" customFormat="1" ht="18" customHeight="1" x14ac:dyDescent="0.2">
      <c r="GE3318" s="84"/>
      <c r="GF3318" s="84"/>
      <c r="GG3318" s="84"/>
      <c r="GH3318" s="84"/>
    </row>
    <row r="3319" spans="187:190" s="2" customFormat="1" ht="18" customHeight="1" x14ac:dyDescent="0.2">
      <c r="GE3319" s="84"/>
      <c r="GF3319" s="84"/>
      <c r="GG3319" s="84"/>
      <c r="GH3319" s="84"/>
    </row>
    <row r="3320" spans="187:190" s="2" customFormat="1" ht="18" customHeight="1" x14ac:dyDescent="0.2">
      <c r="GE3320" s="84"/>
      <c r="GF3320" s="84"/>
      <c r="GG3320" s="84"/>
      <c r="GH3320" s="84"/>
    </row>
    <row r="3321" spans="187:190" s="2" customFormat="1" ht="18" customHeight="1" x14ac:dyDescent="0.2">
      <c r="GE3321" s="84"/>
      <c r="GF3321" s="84"/>
      <c r="GG3321" s="84"/>
      <c r="GH3321" s="84"/>
    </row>
    <row r="3322" spans="187:190" s="2" customFormat="1" ht="18" customHeight="1" x14ac:dyDescent="0.2">
      <c r="GE3322" s="84"/>
      <c r="GF3322" s="84"/>
      <c r="GG3322" s="84"/>
      <c r="GH3322" s="84"/>
    </row>
    <row r="3323" spans="187:190" s="2" customFormat="1" ht="18" customHeight="1" x14ac:dyDescent="0.2">
      <c r="GE3323" s="84"/>
      <c r="GF3323" s="84"/>
      <c r="GG3323" s="84"/>
      <c r="GH3323" s="84"/>
    </row>
    <row r="3324" spans="187:190" s="2" customFormat="1" ht="18" customHeight="1" x14ac:dyDescent="0.2">
      <c r="GE3324" s="84"/>
      <c r="GF3324" s="84"/>
      <c r="GG3324" s="84"/>
      <c r="GH3324" s="84"/>
    </row>
    <row r="3325" spans="187:190" s="2" customFormat="1" ht="18" customHeight="1" x14ac:dyDescent="0.2">
      <c r="GE3325" s="84"/>
      <c r="GF3325" s="84"/>
      <c r="GG3325" s="84"/>
      <c r="GH3325" s="84"/>
    </row>
    <row r="3326" spans="187:190" s="2" customFormat="1" ht="18" customHeight="1" x14ac:dyDescent="0.2">
      <c r="GE3326" s="84"/>
      <c r="GF3326" s="84"/>
      <c r="GG3326" s="84"/>
      <c r="GH3326" s="84"/>
    </row>
    <row r="3327" spans="187:190" s="2" customFormat="1" ht="18" customHeight="1" x14ac:dyDescent="0.2">
      <c r="GE3327" s="84"/>
      <c r="GF3327" s="84"/>
      <c r="GG3327" s="84"/>
      <c r="GH3327" s="84"/>
    </row>
    <row r="3328" spans="187:190" s="2" customFormat="1" ht="18" customHeight="1" x14ac:dyDescent="0.2">
      <c r="GE3328" s="84"/>
      <c r="GF3328" s="84"/>
      <c r="GG3328" s="84"/>
      <c r="GH3328" s="84"/>
    </row>
    <row r="3329" spans="187:190" s="2" customFormat="1" ht="18" customHeight="1" x14ac:dyDescent="0.2">
      <c r="GE3329" s="84"/>
      <c r="GF3329" s="84"/>
      <c r="GG3329" s="84"/>
      <c r="GH3329" s="84"/>
    </row>
    <row r="3330" spans="187:190" s="2" customFormat="1" ht="18" customHeight="1" x14ac:dyDescent="0.2">
      <c r="GE3330" s="84"/>
      <c r="GF3330" s="84"/>
      <c r="GG3330" s="84"/>
      <c r="GH3330" s="84"/>
    </row>
    <row r="3331" spans="187:190" s="2" customFormat="1" ht="18" customHeight="1" x14ac:dyDescent="0.2">
      <c r="GE3331" s="84"/>
      <c r="GF3331" s="84"/>
      <c r="GG3331" s="84"/>
      <c r="GH3331" s="84"/>
    </row>
    <row r="3332" spans="187:190" s="2" customFormat="1" ht="18" customHeight="1" x14ac:dyDescent="0.2">
      <c r="GE3332" s="84"/>
      <c r="GF3332" s="84"/>
      <c r="GG3332" s="84"/>
      <c r="GH3332" s="84"/>
    </row>
    <row r="3333" spans="187:190" s="2" customFormat="1" ht="18" customHeight="1" x14ac:dyDescent="0.2">
      <c r="GE3333" s="84"/>
      <c r="GF3333" s="84"/>
      <c r="GG3333" s="84"/>
      <c r="GH3333" s="84"/>
    </row>
    <row r="3334" spans="187:190" s="2" customFormat="1" ht="18" customHeight="1" x14ac:dyDescent="0.2">
      <c r="GE3334" s="84"/>
      <c r="GF3334" s="84"/>
      <c r="GG3334" s="84"/>
      <c r="GH3334" s="84"/>
    </row>
    <row r="3335" spans="187:190" s="2" customFormat="1" ht="18" customHeight="1" x14ac:dyDescent="0.2">
      <c r="GE3335" s="84"/>
      <c r="GF3335" s="84"/>
      <c r="GG3335" s="84"/>
      <c r="GH3335" s="84"/>
    </row>
    <row r="3336" spans="187:190" s="2" customFormat="1" ht="18" customHeight="1" x14ac:dyDescent="0.2">
      <c r="GE3336" s="84"/>
      <c r="GF3336" s="84"/>
      <c r="GG3336" s="84"/>
      <c r="GH3336" s="84"/>
    </row>
    <row r="3337" spans="187:190" s="2" customFormat="1" ht="18" customHeight="1" x14ac:dyDescent="0.2">
      <c r="GE3337" s="84"/>
      <c r="GF3337" s="84"/>
      <c r="GG3337" s="84"/>
      <c r="GH3337" s="84"/>
    </row>
    <row r="3338" spans="187:190" s="2" customFormat="1" ht="18" customHeight="1" x14ac:dyDescent="0.2">
      <c r="GE3338" s="84"/>
      <c r="GF3338" s="84"/>
      <c r="GG3338" s="84"/>
      <c r="GH3338" s="84"/>
    </row>
    <row r="3339" spans="187:190" s="2" customFormat="1" ht="18" customHeight="1" x14ac:dyDescent="0.2">
      <c r="GE3339" s="84"/>
      <c r="GF3339" s="84"/>
      <c r="GG3339" s="84"/>
      <c r="GH3339" s="84"/>
    </row>
    <row r="3340" spans="187:190" s="2" customFormat="1" ht="18" customHeight="1" x14ac:dyDescent="0.2">
      <c r="GE3340" s="84"/>
      <c r="GF3340" s="84"/>
      <c r="GG3340" s="84"/>
      <c r="GH3340" s="84"/>
    </row>
    <row r="3341" spans="187:190" s="2" customFormat="1" ht="18" customHeight="1" x14ac:dyDescent="0.2">
      <c r="GE3341" s="84"/>
      <c r="GF3341" s="84"/>
      <c r="GG3341" s="84"/>
      <c r="GH3341" s="84"/>
    </row>
    <row r="3342" spans="187:190" s="2" customFormat="1" ht="18" customHeight="1" x14ac:dyDescent="0.2">
      <c r="GE3342" s="84"/>
      <c r="GF3342" s="84"/>
      <c r="GG3342" s="84"/>
      <c r="GH3342" s="84"/>
    </row>
    <row r="3343" spans="187:190" s="2" customFormat="1" ht="18" customHeight="1" x14ac:dyDescent="0.2">
      <c r="GE3343" s="84"/>
      <c r="GF3343" s="84"/>
      <c r="GG3343" s="84"/>
      <c r="GH3343" s="84"/>
    </row>
    <row r="3344" spans="187:190" s="2" customFormat="1" ht="18" customHeight="1" x14ac:dyDescent="0.2">
      <c r="GE3344" s="84"/>
      <c r="GF3344" s="84"/>
      <c r="GG3344" s="84"/>
      <c r="GH3344" s="84"/>
    </row>
    <row r="3345" spans="187:190" s="2" customFormat="1" ht="18" customHeight="1" x14ac:dyDescent="0.2">
      <c r="GE3345" s="84"/>
      <c r="GF3345" s="84"/>
      <c r="GG3345" s="84"/>
      <c r="GH3345" s="84"/>
    </row>
    <row r="3346" spans="187:190" s="2" customFormat="1" ht="18" customHeight="1" x14ac:dyDescent="0.2">
      <c r="GE3346" s="84"/>
      <c r="GF3346" s="84"/>
      <c r="GG3346" s="84"/>
      <c r="GH3346" s="84"/>
    </row>
    <row r="3347" spans="187:190" s="2" customFormat="1" ht="18" customHeight="1" x14ac:dyDescent="0.2">
      <c r="GE3347" s="84"/>
      <c r="GF3347" s="84"/>
      <c r="GG3347" s="84"/>
      <c r="GH3347" s="84"/>
    </row>
    <row r="3348" spans="187:190" s="2" customFormat="1" ht="18" customHeight="1" x14ac:dyDescent="0.2">
      <c r="GE3348" s="84"/>
      <c r="GF3348" s="84"/>
      <c r="GG3348" s="84"/>
      <c r="GH3348" s="84"/>
    </row>
    <row r="3349" spans="187:190" s="2" customFormat="1" ht="18" customHeight="1" x14ac:dyDescent="0.2">
      <c r="GE3349" s="84"/>
      <c r="GF3349" s="84"/>
      <c r="GG3349" s="84"/>
      <c r="GH3349" s="84"/>
    </row>
    <row r="3350" spans="187:190" s="2" customFormat="1" ht="18" customHeight="1" x14ac:dyDescent="0.2">
      <c r="GE3350" s="84"/>
      <c r="GF3350" s="84"/>
      <c r="GG3350" s="84"/>
      <c r="GH3350" s="84"/>
    </row>
    <row r="3351" spans="187:190" s="2" customFormat="1" ht="18" customHeight="1" x14ac:dyDescent="0.2">
      <c r="GE3351" s="84"/>
      <c r="GF3351" s="84"/>
      <c r="GG3351" s="84"/>
      <c r="GH3351" s="84"/>
    </row>
    <row r="3352" spans="187:190" s="2" customFormat="1" ht="18" customHeight="1" x14ac:dyDescent="0.2">
      <c r="GE3352" s="84"/>
      <c r="GF3352" s="84"/>
      <c r="GG3352" s="84"/>
      <c r="GH3352" s="84"/>
    </row>
    <row r="3353" spans="187:190" s="2" customFormat="1" ht="18" customHeight="1" x14ac:dyDescent="0.2">
      <c r="GE3353" s="84"/>
      <c r="GF3353" s="84"/>
      <c r="GG3353" s="84"/>
      <c r="GH3353" s="84"/>
    </row>
    <row r="3354" spans="187:190" s="2" customFormat="1" ht="18" customHeight="1" x14ac:dyDescent="0.2">
      <c r="GE3354" s="84"/>
      <c r="GF3354" s="84"/>
      <c r="GG3354" s="84"/>
      <c r="GH3354" s="84"/>
    </row>
    <row r="3355" spans="187:190" s="2" customFormat="1" ht="18" customHeight="1" x14ac:dyDescent="0.2">
      <c r="GE3355" s="84"/>
      <c r="GF3355" s="84"/>
      <c r="GG3355" s="84"/>
      <c r="GH3355" s="84"/>
    </row>
    <row r="3356" spans="187:190" s="2" customFormat="1" ht="18" customHeight="1" x14ac:dyDescent="0.2">
      <c r="GE3356" s="84"/>
      <c r="GF3356" s="84"/>
      <c r="GG3356" s="84"/>
      <c r="GH3356" s="84"/>
    </row>
    <row r="3357" spans="187:190" s="2" customFormat="1" ht="18" customHeight="1" x14ac:dyDescent="0.2">
      <c r="GE3357" s="84"/>
      <c r="GF3357" s="84"/>
      <c r="GG3357" s="84"/>
      <c r="GH3357" s="84"/>
    </row>
    <row r="3358" spans="187:190" s="2" customFormat="1" ht="18" customHeight="1" x14ac:dyDescent="0.2">
      <c r="GE3358" s="84"/>
      <c r="GF3358" s="84"/>
      <c r="GG3358" s="84"/>
      <c r="GH3358" s="84"/>
    </row>
    <row r="3359" spans="187:190" s="2" customFormat="1" ht="18" customHeight="1" x14ac:dyDescent="0.2">
      <c r="GE3359" s="84"/>
      <c r="GF3359" s="84"/>
      <c r="GG3359" s="84"/>
      <c r="GH3359" s="84"/>
    </row>
    <row r="3360" spans="187:190" s="2" customFormat="1" ht="18" customHeight="1" x14ac:dyDescent="0.2">
      <c r="GE3360" s="84"/>
      <c r="GF3360" s="84"/>
      <c r="GG3360" s="84"/>
      <c r="GH3360" s="84"/>
    </row>
    <row r="3361" spans="187:190" s="2" customFormat="1" ht="18" customHeight="1" x14ac:dyDescent="0.2">
      <c r="GE3361" s="84"/>
      <c r="GF3361" s="84"/>
      <c r="GG3361" s="84"/>
      <c r="GH3361" s="84"/>
    </row>
    <row r="3362" spans="187:190" s="2" customFormat="1" ht="18" customHeight="1" x14ac:dyDescent="0.2">
      <c r="GE3362" s="84"/>
      <c r="GF3362" s="84"/>
      <c r="GG3362" s="84"/>
      <c r="GH3362" s="84"/>
    </row>
    <row r="3363" spans="187:190" s="2" customFormat="1" ht="18" customHeight="1" x14ac:dyDescent="0.2">
      <c r="GE3363" s="84"/>
      <c r="GF3363" s="84"/>
      <c r="GG3363" s="84"/>
      <c r="GH3363" s="84"/>
    </row>
    <row r="3364" spans="187:190" s="2" customFormat="1" ht="18" customHeight="1" x14ac:dyDescent="0.2">
      <c r="GE3364" s="84"/>
      <c r="GF3364" s="84"/>
      <c r="GG3364" s="84"/>
      <c r="GH3364" s="84"/>
    </row>
    <row r="3365" spans="187:190" s="2" customFormat="1" ht="18" customHeight="1" x14ac:dyDescent="0.2">
      <c r="GE3365" s="84"/>
      <c r="GF3365" s="84"/>
      <c r="GG3365" s="84"/>
      <c r="GH3365" s="84"/>
    </row>
    <row r="3366" spans="187:190" s="2" customFormat="1" ht="18" customHeight="1" x14ac:dyDescent="0.2">
      <c r="GE3366" s="84"/>
      <c r="GF3366" s="84"/>
      <c r="GG3366" s="84"/>
      <c r="GH3366" s="84"/>
    </row>
    <row r="3367" spans="187:190" s="2" customFormat="1" ht="18" customHeight="1" x14ac:dyDescent="0.2">
      <c r="GE3367" s="84"/>
      <c r="GF3367" s="84"/>
      <c r="GG3367" s="84"/>
      <c r="GH3367" s="84"/>
    </row>
    <row r="3368" spans="187:190" s="2" customFormat="1" ht="18" customHeight="1" x14ac:dyDescent="0.2">
      <c r="GE3368" s="84"/>
      <c r="GF3368" s="84"/>
      <c r="GG3368" s="84"/>
      <c r="GH3368" s="84"/>
    </row>
    <row r="3369" spans="187:190" s="2" customFormat="1" ht="18" customHeight="1" x14ac:dyDescent="0.2">
      <c r="GE3369" s="84"/>
      <c r="GF3369" s="84"/>
      <c r="GG3369" s="84"/>
      <c r="GH3369" s="84"/>
    </row>
    <row r="3370" spans="187:190" s="2" customFormat="1" ht="18" customHeight="1" x14ac:dyDescent="0.2">
      <c r="GE3370" s="84"/>
      <c r="GF3370" s="84"/>
      <c r="GG3370" s="84"/>
      <c r="GH3370" s="84"/>
    </row>
    <row r="3371" spans="187:190" s="2" customFormat="1" ht="18" customHeight="1" x14ac:dyDescent="0.2">
      <c r="GE3371" s="84"/>
      <c r="GF3371" s="84"/>
      <c r="GG3371" s="84"/>
      <c r="GH3371" s="84"/>
    </row>
    <row r="3372" spans="187:190" s="2" customFormat="1" ht="18" customHeight="1" x14ac:dyDescent="0.2">
      <c r="GE3372" s="84"/>
      <c r="GF3372" s="84"/>
      <c r="GG3372" s="84"/>
      <c r="GH3372" s="84"/>
    </row>
    <row r="3373" spans="187:190" s="2" customFormat="1" ht="18" customHeight="1" x14ac:dyDescent="0.2">
      <c r="GE3373" s="84"/>
      <c r="GF3373" s="84"/>
      <c r="GG3373" s="84"/>
      <c r="GH3373" s="84"/>
    </row>
    <row r="3374" spans="187:190" s="2" customFormat="1" ht="18" customHeight="1" x14ac:dyDescent="0.2">
      <c r="GE3374" s="84"/>
      <c r="GF3374" s="84"/>
      <c r="GG3374" s="84"/>
      <c r="GH3374" s="84"/>
    </row>
    <row r="3375" spans="187:190" s="2" customFormat="1" ht="18" customHeight="1" x14ac:dyDescent="0.2">
      <c r="GE3375" s="84"/>
      <c r="GF3375" s="84"/>
      <c r="GG3375" s="84"/>
      <c r="GH3375" s="84"/>
    </row>
    <row r="3376" spans="187:190" s="2" customFormat="1" ht="18" customHeight="1" x14ac:dyDescent="0.2">
      <c r="GE3376" s="84"/>
      <c r="GF3376" s="84"/>
      <c r="GG3376" s="84"/>
      <c r="GH3376" s="84"/>
    </row>
    <row r="3377" spans="187:190" s="2" customFormat="1" ht="18" customHeight="1" x14ac:dyDescent="0.2">
      <c r="GE3377" s="84"/>
      <c r="GF3377" s="84"/>
      <c r="GG3377" s="84"/>
      <c r="GH3377" s="84"/>
    </row>
    <row r="3378" spans="187:190" s="2" customFormat="1" ht="18" customHeight="1" x14ac:dyDescent="0.2">
      <c r="GE3378" s="84"/>
      <c r="GF3378" s="84"/>
      <c r="GG3378" s="84"/>
      <c r="GH3378" s="84"/>
    </row>
    <row r="3379" spans="187:190" s="2" customFormat="1" ht="18" customHeight="1" x14ac:dyDescent="0.2">
      <c r="GE3379" s="84"/>
      <c r="GF3379" s="84"/>
      <c r="GG3379" s="84"/>
      <c r="GH3379" s="84"/>
    </row>
    <row r="3380" spans="187:190" s="2" customFormat="1" ht="18" customHeight="1" x14ac:dyDescent="0.2">
      <c r="GE3380" s="84"/>
      <c r="GF3380" s="84"/>
      <c r="GG3380" s="84"/>
      <c r="GH3380" s="84"/>
    </row>
    <row r="3381" spans="187:190" s="2" customFormat="1" ht="18" customHeight="1" x14ac:dyDescent="0.2">
      <c r="GE3381" s="84"/>
      <c r="GF3381" s="84"/>
      <c r="GG3381" s="84"/>
      <c r="GH3381" s="84"/>
    </row>
    <row r="3382" spans="187:190" s="2" customFormat="1" ht="18" customHeight="1" x14ac:dyDescent="0.2">
      <c r="GE3382" s="84"/>
      <c r="GF3382" s="84"/>
      <c r="GG3382" s="84"/>
      <c r="GH3382" s="84"/>
    </row>
    <row r="3383" spans="187:190" s="2" customFormat="1" ht="18" customHeight="1" x14ac:dyDescent="0.2">
      <c r="GE3383" s="84"/>
      <c r="GF3383" s="84"/>
      <c r="GG3383" s="84"/>
      <c r="GH3383" s="84"/>
    </row>
    <row r="3384" spans="187:190" s="2" customFormat="1" ht="18" customHeight="1" x14ac:dyDescent="0.2">
      <c r="GE3384" s="84"/>
      <c r="GF3384" s="84"/>
      <c r="GG3384" s="84"/>
      <c r="GH3384" s="84"/>
    </row>
    <row r="3385" spans="187:190" s="2" customFormat="1" ht="18" customHeight="1" x14ac:dyDescent="0.2">
      <c r="GE3385" s="84"/>
      <c r="GF3385" s="84"/>
      <c r="GG3385" s="84"/>
      <c r="GH3385" s="84"/>
    </row>
    <row r="3386" spans="187:190" s="2" customFormat="1" ht="18" customHeight="1" x14ac:dyDescent="0.2">
      <c r="GE3386" s="84"/>
      <c r="GF3386" s="84"/>
      <c r="GG3386" s="84"/>
      <c r="GH3386" s="84"/>
    </row>
    <row r="3387" spans="187:190" s="2" customFormat="1" ht="18" customHeight="1" x14ac:dyDescent="0.2">
      <c r="GE3387" s="84"/>
      <c r="GF3387" s="84"/>
      <c r="GG3387" s="84"/>
      <c r="GH3387" s="84"/>
    </row>
    <row r="3388" spans="187:190" s="2" customFormat="1" ht="18" customHeight="1" x14ac:dyDescent="0.2">
      <c r="GE3388" s="84"/>
      <c r="GF3388" s="84"/>
      <c r="GG3388" s="84"/>
      <c r="GH3388" s="84"/>
    </row>
    <row r="3389" spans="187:190" s="2" customFormat="1" ht="18" customHeight="1" x14ac:dyDescent="0.2">
      <c r="GE3389" s="84"/>
      <c r="GF3389" s="84"/>
      <c r="GG3389" s="84"/>
      <c r="GH3389" s="84"/>
    </row>
    <row r="3390" spans="187:190" s="2" customFormat="1" ht="18" customHeight="1" x14ac:dyDescent="0.2">
      <c r="GE3390" s="84"/>
      <c r="GF3390" s="84"/>
      <c r="GG3390" s="84"/>
      <c r="GH3390" s="84"/>
    </row>
    <row r="3391" spans="187:190" s="2" customFormat="1" ht="18" customHeight="1" x14ac:dyDescent="0.2">
      <c r="GE3391" s="84"/>
      <c r="GF3391" s="84"/>
      <c r="GG3391" s="84"/>
      <c r="GH3391" s="84"/>
    </row>
    <row r="3392" spans="187:190" s="2" customFormat="1" ht="18" customHeight="1" x14ac:dyDescent="0.2">
      <c r="GE3392" s="84"/>
      <c r="GF3392" s="84"/>
      <c r="GG3392" s="84"/>
      <c r="GH3392" s="84"/>
    </row>
    <row r="3393" spans="187:190" s="2" customFormat="1" ht="18" customHeight="1" x14ac:dyDescent="0.2">
      <c r="GE3393" s="84"/>
      <c r="GF3393" s="84"/>
      <c r="GG3393" s="84"/>
      <c r="GH3393" s="84"/>
    </row>
    <row r="3394" spans="187:190" s="2" customFormat="1" ht="18" customHeight="1" x14ac:dyDescent="0.2">
      <c r="GE3394" s="84"/>
      <c r="GF3394" s="84"/>
      <c r="GG3394" s="84"/>
      <c r="GH3394" s="84"/>
    </row>
    <row r="3395" spans="187:190" s="2" customFormat="1" ht="18" customHeight="1" x14ac:dyDescent="0.2">
      <c r="GE3395" s="84"/>
      <c r="GF3395" s="84"/>
      <c r="GG3395" s="84"/>
      <c r="GH3395" s="84"/>
    </row>
    <row r="3396" spans="187:190" s="2" customFormat="1" ht="18" customHeight="1" x14ac:dyDescent="0.2">
      <c r="GE3396" s="84"/>
      <c r="GF3396" s="84"/>
      <c r="GG3396" s="84"/>
      <c r="GH3396" s="84"/>
    </row>
    <row r="3397" spans="187:190" s="2" customFormat="1" ht="18" customHeight="1" x14ac:dyDescent="0.2">
      <c r="GE3397" s="84"/>
      <c r="GF3397" s="84"/>
      <c r="GG3397" s="84"/>
      <c r="GH3397" s="84"/>
    </row>
    <row r="3398" spans="187:190" s="2" customFormat="1" ht="18" customHeight="1" x14ac:dyDescent="0.2">
      <c r="GE3398" s="84"/>
      <c r="GF3398" s="84"/>
      <c r="GG3398" s="84"/>
      <c r="GH3398" s="84"/>
    </row>
    <row r="3399" spans="187:190" s="2" customFormat="1" ht="18" customHeight="1" x14ac:dyDescent="0.2">
      <c r="GE3399" s="84"/>
      <c r="GF3399" s="84"/>
      <c r="GG3399" s="84"/>
      <c r="GH3399" s="84"/>
    </row>
    <row r="3400" spans="187:190" s="2" customFormat="1" ht="18" customHeight="1" x14ac:dyDescent="0.2">
      <c r="GE3400" s="84"/>
      <c r="GF3400" s="84"/>
      <c r="GG3400" s="84"/>
      <c r="GH3400" s="84"/>
    </row>
    <row r="3401" spans="187:190" s="2" customFormat="1" ht="18" customHeight="1" x14ac:dyDescent="0.2">
      <c r="GE3401" s="84"/>
      <c r="GF3401" s="84"/>
      <c r="GG3401" s="84"/>
      <c r="GH3401" s="84"/>
    </row>
    <row r="3402" spans="187:190" s="2" customFormat="1" ht="18" customHeight="1" x14ac:dyDescent="0.2">
      <c r="GE3402" s="84"/>
      <c r="GF3402" s="84"/>
      <c r="GG3402" s="84"/>
      <c r="GH3402" s="84"/>
    </row>
    <row r="3403" spans="187:190" s="2" customFormat="1" ht="18" customHeight="1" x14ac:dyDescent="0.2">
      <c r="GE3403" s="84"/>
      <c r="GF3403" s="84"/>
      <c r="GG3403" s="84"/>
      <c r="GH3403" s="84"/>
    </row>
    <row r="3404" spans="187:190" s="2" customFormat="1" ht="18" customHeight="1" x14ac:dyDescent="0.2">
      <c r="GE3404" s="84"/>
      <c r="GF3404" s="84"/>
      <c r="GG3404" s="84"/>
      <c r="GH3404" s="84"/>
    </row>
    <row r="3405" spans="187:190" s="2" customFormat="1" ht="18" customHeight="1" x14ac:dyDescent="0.2">
      <c r="GE3405" s="84"/>
      <c r="GF3405" s="84"/>
      <c r="GG3405" s="84"/>
      <c r="GH3405" s="84"/>
    </row>
    <row r="3406" spans="187:190" s="2" customFormat="1" ht="18" customHeight="1" x14ac:dyDescent="0.2">
      <c r="GE3406" s="84"/>
      <c r="GF3406" s="84"/>
      <c r="GG3406" s="84"/>
      <c r="GH3406" s="84"/>
    </row>
    <row r="3407" spans="187:190" s="2" customFormat="1" ht="18" customHeight="1" x14ac:dyDescent="0.2">
      <c r="GE3407" s="84"/>
      <c r="GF3407" s="84"/>
      <c r="GG3407" s="84"/>
      <c r="GH3407" s="84"/>
    </row>
    <row r="3408" spans="187:190" s="2" customFormat="1" ht="18" customHeight="1" x14ac:dyDescent="0.2">
      <c r="GE3408" s="84"/>
      <c r="GF3408" s="84"/>
      <c r="GG3408" s="84"/>
      <c r="GH3408" s="84"/>
    </row>
    <row r="3409" spans="187:190" s="2" customFormat="1" ht="18" customHeight="1" x14ac:dyDescent="0.2">
      <c r="GE3409" s="84"/>
      <c r="GF3409" s="84"/>
      <c r="GG3409" s="84"/>
      <c r="GH3409" s="84"/>
    </row>
    <row r="3410" spans="187:190" s="2" customFormat="1" ht="18" customHeight="1" x14ac:dyDescent="0.2">
      <c r="GE3410" s="84"/>
      <c r="GF3410" s="84"/>
      <c r="GG3410" s="84"/>
      <c r="GH3410" s="84"/>
    </row>
    <row r="3411" spans="187:190" s="2" customFormat="1" ht="18" customHeight="1" x14ac:dyDescent="0.2">
      <c r="GE3411" s="84"/>
      <c r="GF3411" s="84"/>
      <c r="GG3411" s="84"/>
      <c r="GH3411" s="84"/>
    </row>
    <row r="3412" spans="187:190" s="2" customFormat="1" ht="18" customHeight="1" x14ac:dyDescent="0.2">
      <c r="GE3412" s="84"/>
      <c r="GF3412" s="84"/>
      <c r="GG3412" s="84"/>
      <c r="GH3412" s="84"/>
    </row>
    <row r="3413" spans="187:190" s="2" customFormat="1" ht="18" customHeight="1" x14ac:dyDescent="0.2">
      <c r="GE3413" s="84"/>
      <c r="GF3413" s="84"/>
      <c r="GG3413" s="84"/>
      <c r="GH3413" s="84"/>
    </row>
    <row r="3414" spans="187:190" s="2" customFormat="1" ht="18" customHeight="1" x14ac:dyDescent="0.2">
      <c r="GE3414" s="84"/>
      <c r="GF3414" s="84"/>
      <c r="GG3414" s="84"/>
      <c r="GH3414" s="84"/>
    </row>
    <row r="3415" spans="187:190" s="2" customFormat="1" ht="18" customHeight="1" x14ac:dyDescent="0.2">
      <c r="GE3415" s="84"/>
      <c r="GF3415" s="84"/>
      <c r="GG3415" s="84"/>
      <c r="GH3415" s="84"/>
    </row>
    <row r="3416" spans="187:190" s="2" customFormat="1" ht="18" customHeight="1" x14ac:dyDescent="0.2">
      <c r="GE3416" s="84"/>
      <c r="GF3416" s="84"/>
      <c r="GG3416" s="84"/>
      <c r="GH3416" s="84"/>
    </row>
    <row r="3417" spans="187:190" s="2" customFormat="1" ht="18" customHeight="1" x14ac:dyDescent="0.2">
      <c r="GE3417" s="84"/>
      <c r="GF3417" s="84"/>
      <c r="GG3417" s="84"/>
      <c r="GH3417" s="84"/>
    </row>
    <row r="3418" spans="187:190" s="2" customFormat="1" ht="18" customHeight="1" x14ac:dyDescent="0.2">
      <c r="GE3418" s="84"/>
      <c r="GF3418" s="84"/>
      <c r="GG3418" s="84"/>
      <c r="GH3418" s="84"/>
    </row>
    <row r="3419" spans="187:190" s="2" customFormat="1" ht="18" customHeight="1" x14ac:dyDescent="0.2">
      <c r="GE3419" s="84"/>
      <c r="GF3419" s="84"/>
      <c r="GG3419" s="84"/>
      <c r="GH3419" s="84"/>
    </row>
    <row r="3420" spans="187:190" s="2" customFormat="1" ht="18" customHeight="1" x14ac:dyDescent="0.2">
      <c r="GE3420" s="84"/>
      <c r="GF3420" s="84"/>
      <c r="GG3420" s="84"/>
      <c r="GH3420" s="84"/>
    </row>
    <row r="3421" spans="187:190" s="2" customFormat="1" ht="18" customHeight="1" x14ac:dyDescent="0.2">
      <c r="GE3421" s="84"/>
      <c r="GF3421" s="84"/>
      <c r="GG3421" s="84"/>
      <c r="GH3421" s="84"/>
    </row>
    <row r="3422" spans="187:190" s="2" customFormat="1" ht="18" customHeight="1" x14ac:dyDescent="0.2">
      <c r="GE3422" s="84"/>
      <c r="GF3422" s="84"/>
      <c r="GG3422" s="84"/>
      <c r="GH3422" s="84"/>
    </row>
    <row r="3423" spans="187:190" s="2" customFormat="1" ht="18" customHeight="1" x14ac:dyDescent="0.2">
      <c r="GE3423" s="84"/>
      <c r="GF3423" s="84"/>
      <c r="GG3423" s="84"/>
      <c r="GH3423" s="84"/>
    </row>
    <row r="3424" spans="187:190" s="2" customFormat="1" ht="18" customHeight="1" x14ac:dyDescent="0.2">
      <c r="GE3424" s="84"/>
      <c r="GF3424" s="84"/>
      <c r="GG3424" s="84"/>
      <c r="GH3424" s="84"/>
    </row>
    <row r="3425" spans="187:190" s="2" customFormat="1" ht="18" customHeight="1" x14ac:dyDescent="0.2">
      <c r="GE3425" s="84"/>
      <c r="GF3425" s="84"/>
      <c r="GG3425" s="84"/>
      <c r="GH3425" s="84"/>
    </row>
    <row r="3426" spans="187:190" s="2" customFormat="1" ht="18" customHeight="1" x14ac:dyDescent="0.2">
      <c r="GE3426" s="84"/>
      <c r="GF3426" s="84"/>
      <c r="GG3426" s="84"/>
      <c r="GH3426" s="84"/>
    </row>
    <row r="3427" spans="187:190" s="2" customFormat="1" ht="18" customHeight="1" x14ac:dyDescent="0.2">
      <c r="GE3427" s="84"/>
      <c r="GF3427" s="84"/>
      <c r="GG3427" s="84"/>
      <c r="GH3427" s="84"/>
    </row>
    <row r="3428" spans="187:190" s="2" customFormat="1" ht="18" customHeight="1" x14ac:dyDescent="0.2">
      <c r="GE3428" s="84"/>
      <c r="GF3428" s="84"/>
      <c r="GG3428" s="84"/>
      <c r="GH3428" s="84"/>
    </row>
    <row r="3429" spans="187:190" s="2" customFormat="1" ht="18" customHeight="1" x14ac:dyDescent="0.2">
      <c r="GE3429" s="84"/>
      <c r="GF3429" s="84"/>
      <c r="GG3429" s="84"/>
      <c r="GH3429" s="84"/>
    </row>
    <row r="3430" spans="187:190" s="2" customFormat="1" ht="18" customHeight="1" x14ac:dyDescent="0.2">
      <c r="GE3430" s="84"/>
      <c r="GF3430" s="84"/>
      <c r="GG3430" s="84"/>
      <c r="GH3430" s="84"/>
    </row>
    <row r="3431" spans="187:190" s="2" customFormat="1" ht="18" customHeight="1" x14ac:dyDescent="0.2">
      <c r="GE3431" s="84"/>
      <c r="GF3431" s="84"/>
      <c r="GG3431" s="84"/>
      <c r="GH3431" s="84"/>
    </row>
    <row r="3432" spans="187:190" s="2" customFormat="1" ht="18" customHeight="1" x14ac:dyDescent="0.2">
      <c r="GE3432" s="84"/>
      <c r="GF3432" s="84"/>
      <c r="GG3432" s="84"/>
      <c r="GH3432" s="84"/>
    </row>
    <row r="3433" spans="187:190" s="2" customFormat="1" ht="18" customHeight="1" x14ac:dyDescent="0.2">
      <c r="GE3433" s="84"/>
      <c r="GF3433" s="84"/>
      <c r="GG3433" s="84"/>
      <c r="GH3433" s="84"/>
    </row>
    <row r="3434" spans="187:190" s="2" customFormat="1" ht="18" customHeight="1" x14ac:dyDescent="0.2">
      <c r="GE3434" s="84"/>
      <c r="GF3434" s="84"/>
      <c r="GG3434" s="84"/>
      <c r="GH3434" s="84"/>
    </row>
    <row r="3435" spans="187:190" s="2" customFormat="1" ht="18" customHeight="1" x14ac:dyDescent="0.2">
      <c r="GE3435" s="84"/>
      <c r="GF3435" s="84"/>
      <c r="GG3435" s="84"/>
      <c r="GH3435" s="84"/>
    </row>
    <row r="3436" spans="187:190" s="2" customFormat="1" ht="18" customHeight="1" x14ac:dyDescent="0.2">
      <c r="GE3436" s="84"/>
      <c r="GF3436" s="84"/>
      <c r="GG3436" s="84"/>
      <c r="GH3436" s="84"/>
    </row>
    <row r="3437" spans="187:190" s="2" customFormat="1" ht="18" customHeight="1" x14ac:dyDescent="0.2">
      <c r="GE3437" s="84"/>
      <c r="GF3437" s="84"/>
      <c r="GG3437" s="84"/>
      <c r="GH3437" s="84"/>
    </row>
    <row r="3438" spans="187:190" s="2" customFormat="1" ht="18" customHeight="1" x14ac:dyDescent="0.2">
      <c r="GE3438" s="84"/>
      <c r="GF3438" s="84"/>
      <c r="GG3438" s="84"/>
      <c r="GH3438" s="84"/>
    </row>
    <row r="3439" spans="187:190" s="2" customFormat="1" ht="18" customHeight="1" x14ac:dyDescent="0.2">
      <c r="GE3439" s="84"/>
      <c r="GF3439" s="84"/>
      <c r="GG3439" s="84"/>
      <c r="GH3439" s="84"/>
    </row>
    <row r="3440" spans="187:190" s="2" customFormat="1" ht="18" customHeight="1" x14ac:dyDescent="0.2">
      <c r="GE3440" s="84"/>
      <c r="GF3440" s="84"/>
      <c r="GG3440" s="84"/>
      <c r="GH3440" s="84"/>
    </row>
    <row r="3441" spans="187:190" s="2" customFormat="1" ht="18" customHeight="1" x14ac:dyDescent="0.2">
      <c r="GE3441" s="84"/>
      <c r="GF3441" s="84"/>
      <c r="GG3441" s="84"/>
      <c r="GH3441" s="84"/>
    </row>
    <row r="3442" spans="187:190" s="2" customFormat="1" ht="18" customHeight="1" x14ac:dyDescent="0.2">
      <c r="GE3442" s="84"/>
      <c r="GF3442" s="84"/>
      <c r="GG3442" s="84"/>
      <c r="GH3442" s="84"/>
    </row>
    <row r="3443" spans="187:190" s="2" customFormat="1" ht="18" customHeight="1" x14ac:dyDescent="0.2">
      <c r="GE3443" s="84"/>
      <c r="GF3443" s="84"/>
      <c r="GG3443" s="84"/>
      <c r="GH3443" s="84"/>
    </row>
    <row r="3444" spans="187:190" s="2" customFormat="1" ht="18" customHeight="1" x14ac:dyDescent="0.2">
      <c r="GE3444" s="84"/>
      <c r="GF3444" s="84"/>
      <c r="GG3444" s="84"/>
      <c r="GH3444" s="84"/>
    </row>
    <row r="3445" spans="187:190" s="2" customFormat="1" ht="18" customHeight="1" x14ac:dyDescent="0.2">
      <c r="GE3445" s="84"/>
      <c r="GF3445" s="84"/>
      <c r="GG3445" s="84"/>
      <c r="GH3445" s="84"/>
    </row>
    <row r="3446" spans="187:190" s="2" customFormat="1" ht="18" customHeight="1" x14ac:dyDescent="0.2">
      <c r="GE3446" s="84"/>
      <c r="GF3446" s="84"/>
      <c r="GG3446" s="84"/>
      <c r="GH3446" s="84"/>
    </row>
    <row r="3447" spans="187:190" s="2" customFormat="1" ht="18" customHeight="1" x14ac:dyDescent="0.2">
      <c r="GE3447" s="84"/>
      <c r="GF3447" s="84"/>
      <c r="GG3447" s="84"/>
      <c r="GH3447" s="84"/>
    </row>
    <row r="3448" spans="187:190" s="2" customFormat="1" ht="18" customHeight="1" x14ac:dyDescent="0.2">
      <c r="GE3448" s="84"/>
      <c r="GF3448" s="84"/>
      <c r="GG3448" s="84"/>
      <c r="GH3448" s="84"/>
    </row>
    <row r="3449" spans="187:190" s="2" customFormat="1" ht="18" customHeight="1" x14ac:dyDescent="0.2">
      <c r="GE3449" s="84"/>
      <c r="GF3449" s="84"/>
      <c r="GG3449" s="84"/>
      <c r="GH3449" s="84"/>
    </row>
    <row r="3450" spans="187:190" s="2" customFormat="1" ht="18" customHeight="1" x14ac:dyDescent="0.2">
      <c r="GE3450" s="84"/>
      <c r="GF3450" s="84"/>
      <c r="GG3450" s="84"/>
      <c r="GH3450" s="84"/>
    </row>
    <row r="3451" spans="187:190" s="2" customFormat="1" ht="18" customHeight="1" x14ac:dyDescent="0.2">
      <c r="GE3451" s="84"/>
      <c r="GF3451" s="84"/>
      <c r="GG3451" s="84"/>
      <c r="GH3451" s="84"/>
    </row>
    <row r="3452" spans="187:190" s="2" customFormat="1" ht="18" customHeight="1" x14ac:dyDescent="0.2">
      <c r="GE3452" s="84"/>
      <c r="GF3452" s="84"/>
      <c r="GG3452" s="84"/>
      <c r="GH3452" s="84"/>
    </row>
    <row r="3453" spans="187:190" s="2" customFormat="1" ht="18" customHeight="1" x14ac:dyDescent="0.2">
      <c r="GE3453" s="84"/>
      <c r="GF3453" s="84"/>
      <c r="GG3453" s="84"/>
      <c r="GH3453" s="84"/>
    </row>
    <row r="3454" spans="187:190" s="2" customFormat="1" ht="18" customHeight="1" x14ac:dyDescent="0.2">
      <c r="GE3454" s="84"/>
      <c r="GF3454" s="84"/>
      <c r="GG3454" s="84"/>
      <c r="GH3454" s="84"/>
    </row>
    <row r="3455" spans="187:190" s="2" customFormat="1" ht="18" customHeight="1" x14ac:dyDescent="0.2">
      <c r="GE3455" s="84"/>
      <c r="GF3455" s="84"/>
      <c r="GG3455" s="84"/>
      <c r="GH3455" s="84"/>
    </row>
    <row r="3456" spans="187:190" s="2" customFormat="1" ht="18" customHeight="1" x14ac:dyDescent="0.2">
      <c r="GE3456" s="84"/>
      <c r="GF3456" s="84"/>
      <c r="GG3456" s="84"/>
      <c r="GH3456" s="84"/>
    </row>
    <row r="3457" spans="187:190" s="2" customFormat="1" ht="18" customHeight="1" x14ac:dyDescent="0.2">
      <c r="GE3457" s="84"/>
      <c r="GF3457" s="84"/>
      <c r="GG3457" s="84"/>
      <c r="GH3457" s="84"/>
    </row>
    <row r="3458" spans="187:190" s="2" customFormat="1" ht="18" customHeight="1" x14ac:dyDescent="0.2">
      <c r="GE3458" s="84"/>
      <c r="GF3458" s="84"/>
      <c r="GG3458" s="84"/>
      <c r="GH3458" s="84"/>
    </row>
    <row r="3459" spans="187:190" s="2" customFormat="1" ht="18" customHeight="1" x14ac:dyDescent="0.2">
      <c r="GE3459" s="84"/>
      <c r="GF3459" s="84"/>
      <c r="GG3459" s="84"/>
      <c r="GH3459" s="84"/>
    </row>
    <row r="3460" spans="187:190" s="2" customFormat="1" ht="18" customHeight="1" x14ac:dyDescent="0.2">
      <c r="GE3460" s="84"/>
      <c r="GF3460" s="84"/>
      <c r="GG3460" s="84"/>
      <c r="GH3460" s="84"/>
    </row>
    <row r="3461" spans="187:190" s="2" customFormat="1" ht="18" customHeight="1" x14ac:dyDescent="0.2">
      <c r="GE3461" s="84"/>
      <c r="GF3461" s="84"/>
      <c r="GG3461" s="84"/>
      <c r="GH3461" s="84"/>
    </row>
    <row r="3462" spans="187:190" s="2" customFormat="1" ht="18" customHeight="1" x14ac:dyDescent="0.2">
      <c r="GE3462" s="84"/>
      <c r="GF3462" s="84"/>
      <c r="GG3462" s="84"/>
      <c r="GH3462" s="84"/>
    </row>
    <row r="3463" spans="187:190" s="2" customFormat="1" ht="18" customHeight="1" x14ac:dyDescent="0.2">
      <c r="GE3463" s="84"/>
      <c r="GF3463" s="84"/>
      <c r="GG3463" s="84"/>
      <c r="GH3463" s="84"/>
    </row>
    <row r="3464" spans="187:190" s="2" customFormat="1" ht="18" customHeight="1" x14ac:dyDescent="0.2">
      <c r="GE3464" s="84"/>
      <c r="GF3464" s="84"/>
      <c r="GG3464" s="84"/>
      <c r="GH3464" s="84"/>
    </row>
    <row r="3465" spans="187:190" s="2" customFormat="1" ht="18" customHeight="1" x14ac:dyDescent="0.2">
      <c r="GE3465" s="84"/>
      <c r="GF3465" s="84"/>
      <c r="GG3465" s="84"/>
      <c r="GH3465" s="84"/>
    </row>
    <row r="3466" spans="187:190" s="2" customFormat="1" ht="18" customHeight="1" x14ac:dyDescent="0.2">
      <c r="GE3466" s="84"/>
      <c r="GF3466" s="84"/>
      <c r="GG3466" s="84"/>
      <c r="GH3466" s="84"/>
    </row>
    <row r="3467" spans="187:190" s="2" customFormat="1" ht="18" customHeight="1" x14ac:dyDescent="0.2">
      <c r="GE3467" s="84"/>
      <c r="GF3467" s="84"/>
      <c r="GG3467" s="84"/>
      <c r="GH3467" s="84"/>
    </row>
    <row r="3468" spans="187:190" s="2" customFormat="1" ht="18" customHeight="1" x14ac:dyDescent="0.2">
      <c r="GE3468" s="84"/>
      <c r="GF3468" s="84"/>
      <c r="GG3468" s="84"/>
      <c r="GH3468" s="84"/>
    </row>
    <row r="3469" spans="187:190" s="2" customFormat="1" ht="18" customHeight="1" x14ac:dyDescent="0.2">
      <c r="GE3469" s="84"/>
      <c r="GF3469" s="84"/>
      <c r="GG3469" s="84"/>
      <c r="GH3469" s="84"/>
    </row>
    <row r="3470" spans="187:190" s="2" customFormat="1" ht="18" customHeight="1" x14ac:dyDescent="0.2">
      <c r="GE3470" s="84"/>
      <c r="GF3470" s="84"/>
      <c r="GG3470" s="84"/>
      <c r="GH3470" s="84"/>
    </row>
    <row r="3471" spans="187:190" s="2" customFormat="1" ht="18" customHeight="1" x14ac:dyDescent="0.2">
      <c r="GE3471" s="84"/>
      <c r="GF3471" s="84"/>
      <c r="GG3471" s="84"/>
      <c r="GH3471" s="84"/>
    </row>
    <row r="3472" spans="187:190" s="2" customFormat="1" ht="18" customHeight="1" x14ac:dyDescent="0.2">
      <c r="GE3472" s="84"/>
      <c r="GF3472" s="84"/>
      <c r="GG3472" s="84"/>
      <c r="GH3472" s="84"/>
    </row>
    <row r="3473" spans="187:190" s="2" customFormat="1" ht="18" customHeight="1" x14ac:dyDescent="0.2">
      <c r="GE3473" s="84"/>
      <c r="GF3473" s="84"/>
      <c r="GG3473" s="84"/>
      <c r="GH3473" s="84"/>
    </row>
    <row r="3474" spans="187:190" s="2" customFormat="1" ht="18" customHeight="1" x14ac:dyDescent="0.2">
      <c r="GE3474" s="84"/>
      <c r="GF3474" s="84"/>
      <c r="GG3474" s="84"/>
      <c r="GH3474" s="84"/>
    </row>
    <row r="3475" spans="187:190" s="2" customFormat="1" ht="18" customHeight="1" x14ac:dyDescent="0.2">
      <c r="GE3475" s="84"/>
      <c r="GF3475" s="84"/>
      <c r="GG3475" s="84"/>
      <c r="GH3475" s="84"/>
    </row>
    <row r="3476" spans="187:190" s="2" customFormat="1" ht="18" customHeight="1" x14ac:dyDescent="0.2">
      <c r="GE3476" s="84"/>
      <c r="GF3476" s="84"/>
      <c r="GG3476" s="84"/>
      <c r="GH3476" s="84"/>
    </row>
    <row r="3477" spans="187:190" s="2" customFormat="1" ht="18" customHeight="1" x14ac:dyDescent="0.2">
      <c r="GE3477" s="84"/>
      <c r="GF3477" s="84"/>
      <c r="GG3477" s="84"/>
      <c r="GH3477" s="84"/>
    </row>
    <row r="3478" spans="187:190" s="2" customFormat="1" ht="18" customHeight="1" x14ac:dyDescent="0.2">
      <c r="GE3478" s="84"/>
      <c r="GF3478" s="84"/>
      <c r="GG3478" s="84"/>
      <c r="GH3478" s="84"/>
    </row>
    <row r="3479" spans="187:190" s="2" customFormat="1" ht="18" customHeight="1" x14ac:dyDescent="0.2">
      <c r="GE3479" s="84"/>
      <c r="GF3479" s="84"/>
      <c r="GG3479" s="84"/>
      <c r="GH3479" s="84"/>
    </row>
    <row r="3480" spans="187:190" s="2" customFormat="1" ht="18" customHeight="1" x14ac:dyDescent="0.2">
      <c r="GE3480" s="84"/>
      <c r="GF3480" s="84"/>
      <c r="GG3480" s="84"/>
      <c r="GH3480" s="84"/>
    </row>
    <row r="3481" spans="187:190" s="2" customFormat="1" ht="18" customHeight="1" x14ac:dyDescent="0.2">
      <c r="GE3481" s="84"/>
      <c r="GF3481" s="84"/>
      <c r="GG3481" s="84"/>
      <c r="GH3481" s="84"/>
    </row>
    <row r="3482" spans="187:190" s="2" customFormat="1" ht="18" customHeight="1" x14ac:dyDescent="0.2">
      <c r="GE3482" s="84"/>
      <c r="GF3482" s="84"/>
      <c r="GG3482" s="84"/>
      <c r="GH3482" s="84"/>
    </row>
    <row r="3483" spans="187:190" s="2" customFormat="1" ht="18" customHeight="1" x14ac:dyDescent="0.2">
      <c r="GE3483" s="84"/>
      <c r="GF3483" s="84"/>
      <c r="GG3483" s="84"/>
      <c r="GH3483" s="84"/>
    </row>
    <row r="3484" spans="187:190" s="2" customFormat="1" ht="18" customHeight="1" x14ac:dyDescent="0.2">
      <c r="GE3484" s="84"/>
      <c r="GF3484" s="84"/>
      <c r="GG3484" s="84"/>
      <c r="GH3484" s="84"/>
    </row>
    <row r="3485" spans="187:190" s="2" customFormat="1" ht="18" customHeight="1" x14ac:dyDescent="0.2">
      <c r="GE3485" s="84"/>
      <c r="GF3485" s="84"/>
      <c r="GG3485" s="84"/>
      <c r="GH3485" s="84"/>
    </row>
    <row r="3486" spans="187:190" s="2" customFormat="1" ht="18" customHeight="1" x14ac:dyDescent="0.2">
      <c r="GE3486" s="84"/>
      <c r="GF3486" s="84"/>
      <c r="GG3486" s="84"/>
      <c r="GH3486" s="84"/>
    </row>
    <row r="3487" spans="187:190" s="2" customFormat="1" ht="18" customHeight="1" x14ac:dyDescent="0.2">
      <c r="GE3487" s="84"/>
      <c r="GF3487" s="84"/>
      <c r="GG3487" s="84"/>
      <c r="GH3487" s="84"/>
    </row>
    <row r="3488" spans="187:190" s="2" customFormat="1" ht="18" customHeight="1" x14ac:dyDescent="0.2">
      <c r="GE3488" s="84"/>
      <c r="GF3488" s="84"/>
      <c r="GG3488" s="84"/>
      <c r="GH3488" s="84"/>
    </row>
    <row r="3489" spans="187:190" s="2" customFormat="1" ht="18" customHeight="1" x14ac:dyDescent="0.2">
      <c r="GE3489" s="84"/>
      <c r="GF3489" s="84"/>
      <c r="GG3489" s="84"/>
      <c r="GH3489" s="84"/>
    </row>
    <row r="3490" spans="187:190" s="2" customFormat="1" ht="18" customHeight="1" x14ac:dyDescent="0.2">
      <c r="GE3490" s="84"/>
      <c r="GF3490" s="84"/>
      <c r="GG3490" s="84"/>
      <c r="GH3490" s="84"/>
    </row>
    <row r="3491" spans="187:190" s="2" customFormat="1" ht="18" customHeight="1" x14ac:dyDescent="0.2">
      <c r="GE3491" s="84"/>
      <c r="GF3491" s="84"/>
      <c r="GG3491" s="84"/>
      <c r="GH3491" s="84"/>
    </row>
    <row r="3492" spans="187:190" s="2" customFormat="1" ht="18" customHeight="1" x14ac:dyDescent="0.2">
      <c r="GE3492" s="84"/>
      <c r="GF3492" s="84"/>
      <c r="GG3492" s="84"/>
      <c r="GH3492" s="84"/>
    </row>
    <row r="3493" spans="187:190" s="2" customFormat="1" ht="18" customHeight="1" x14ac:dyDescent="0.2">
      <c r="GE3493" s="84"/>
      <c r="GF3493" s="84"/>
      <c r="GG3493" s="84"/>
      <c r="GH3493" s="84"/>
    </row>
    <row r="3494" spans="187:190" s="2" customFormat="1" ht="18" customHeight="1" x14ac:dyDescent="0.2">
      <c r="GE3494" s="84"/>
      <c r="GF3494" s="84"/>
      <c r="GG3494" s="84"/>
      <c r="GH3494" s="84"/>
    </row>
    <row r="3495" spans="187:190" s="2" customFormat="1" ht="18" customHeight="1" x14ac:dyDescent="0.2">
      <c r="GE3495" s="84"/>
      <c r="GF3495" s="84"/>
      <c r="GG3495" s="84"/>
      <c r="GH3495" s="84"/>
    </row>
    <row r="3496" spans="187:190" s="2" customFormat="1" ht="18" customHeight="1" x14ac:dyDescent="0.2">
      <c r="GE3496" s="84"/>
      <c r="GF3496" s="84"/>
      <c r="GG3496" s="84"/>
      <c r="GH3496" s="84"/>
    </row>
    <row r="3497" spans="187:190" s="2" customFormat="1" ht="18" customHeight="1" x14ac:dyDescent="0.2">
      <c r="GE3497" s="84"/>
      <c r="GF3497" s="84"/>
      <c r="GG3497" s="84"/>
      <c r="GH3497" s="84"/>
    </row>
    <row r="3498" spans="187:190" s="2" customFormat="1" ht="18" customHeight="1" x14ac:dyDescent="0.2">
      <c r="GE3498" s="84"/>
      <c r="GF3498" s="84"/>
      <c r="GG3498" s="84"/>
      <c r="GH3498" s="84"/>
    </row>
    <row r="3499" spans="187:190" s="2" customFormat="1" ht="18" customHeight="1" x14ac:dyDescent="0.2">
      <c r="GE3499" s="84"/>
      <c r="GF3499" s="84"/>
      <c r="GG3499" s="84"/>
      <c r="GH3499" s="84"/>
    </row>
    <row r="3500" spans="187:190" s="2" customFormat="1" ht="18" customHeight="1" x14ac:dyDescent="0.2">
      <c r="GE3500" s="84"/>
      <c r="GF3500" s="84"/>
      <c r="GG3500" s="84"/>
      <c r="GH3500" s="84"/>
    </row>
    <row r="3501" spans="187:190" s="2" customFormat="1" ht="18" customHeight="1" x14ac:dyDescent="0.2">
      <c r="GE3501" s="84"/>
      <c r="GF3501" s="84"/>
      <c r="GG3501" s="84"/>
      <c r="GH3501" s="84"/>
    </row>
    <row r="3502" spans="187:190" s="2" customFormat="1" ht="18" customHeight="1" x14ac:dyDescent="0.2">
      <c r="GE3502" s="84"/>
      <c r="GF3502" s="84"/>
      <c r="GG3502" s="84"/>
      <c r="GH3502" s="84"/>
    </row>
    <row r="3503" spans="187:190" s="2" customFormat="1" ht="18" customHeight="1" x14ac:dyDescent="0.2">
      <c r="GE3503" s="84"/>
      <c r="GF3503" s="84"/>
      <c r="GG3503" s="84"/>
      <c r="GH3503" s="84"/>
    </row>
    <row r="3504" spans="187:190" s="2" customFormat="1" ht="18" customHeight="1" x14ac:dyDescent="0.2">
      <c r="GE3504" s="84"/>
      <c r="GF3504" s="84"/>
      <c r="GG3504" s="84"/>
      <c r="GH3504" s="84"/>
    </row>
    <row r="3505" spans="187:190" s="2" customFormat="1" ht="18" customHeight="1" x14ac:dyDescent="0.2">
      <c r="GE3505" s="84"/>
      <c r="GF3505" s="84"/>
      <c r="GG3505" s="84"/>
      <c r="GH3505" s="84"/>
    </row>
    <row r="3506" spans="187:190" s="2" customFormat="1" ht="18" customHeight="1" x14ac:dyDescent="0.2">
      <c r="GE3506" s="84"/>
      <c r="GF3506" s="84"/>
      <c r="GG3506" s="84"/>
      <c r="GH3506" s="84"/>
    </row>
    <row r="3507" spans="187:190" s="2" customFormat="1" ht="18" customHeight="1" x14ac:dyDescent="0.2">
      <c r="GE3507" s="84"/>
      <c r="GF3507" s="84"/>
      <c r="GG3507" s="84"/>
      <c r="GH3507" s="84"/>
    </row>
    <row r="3508" spans="187:190" s="2" customFormat="1" ht="18" customHeight="1" x14ac:dyDescent="0.2">
      <c r="GE3508" s="84"/>
      <c r="GF3508" s="84"/>
      <c r="GG3508" s="84"/>
      <c r="GH3508" s="84"/>
    </row>
    <row r="3509" spans="187:190" s="2" customFormat="1" ht="18" customHeight="1" x14ac:dyDescent="0.2">
      <c r="GE3509" s="84"/>
      <c r="GF3509" s="84"/>
      <c r="GG3509" s="84"/>
      <c r="GH3509" s="84"/>
    </row>
    <row r="3510" spans="187:190" s="2" customFormat="1" ht="18" customHeight="1" x14ac:dyDescent="0.2">
      <c r="GE3510" s="84"/>
      <c r="GF3510" s="84"/>
      <c r="GG3510" s="84"/>
      <c r="GH3510" s="84"/>
    </row>
    <row r="3511" spans="187:190" s="2" customFormat="1" ht="18" customHeight="1" x14ac:dyDescent="0.2">
      <c r="GE3511" s="84"/>
      <c r="GF3511" s="84"/>
      <c r="GG3511" s="84"/>
      <c r="GH3511" s="84"/>
    </row>
    <row r="3512" spans="187:190" s="2" customFormat="1" ht="18" customHeight="1" x14ac:dyDescent="0.2">
      <c r="GE3512" s="84"/>
      <c r="GF3512" s="84"/>
      <c r="GG3512" s="84"/>
      <c r="GH3512" s="84"/>
    </row>
    <row r="3513" spans="187:190" s="2" customFormat="1" ht="18" customHeight="1" x14ac:dyDescent="0.2">
      <c r="GE3513" s="84"/>
      <c r="GF3513" s="84"/>
      <c r="GG3513" s="84"/>
      <c r="GH3513" s="84"/>
    </row>
    <row r="3514" spans="187:190" s="2" customFormat="1" ht="18" customHeight="1" x14ac:dyDescent="0.2">
      <c r="GE3514" s="84"/>
      <c r="GF3514" s="84"/>
      <c r="GG3514" s="84"/>
      <c r="GH3514" s="84"/>
    </row>
    <row r="3515" spans="187:190" s="2" customFormat="1" ht="18" customHeight="1" x14ac:dyDescent="0.2">
      <c r="GE3515" s="84"/>
      <c r="GF3515" s="84"/>
      <c r="GG3515" s="84"/>
      <c r="GH3515" s="84"/>
    </row>
    <row r="3516" spans="187:190" s="2" customFormat="1" ht="18" customHeight="1" x14ac:dyDescent="0.2">
      <c r="GE3516" s="84"/>
      <c r="GF3516" s="84"/>
      <c r="GG3516" s="84"/>
      <c r="GH3516" s="84"/>
    </row>
    <row r="3517" spans="187:190" s="2" customFormat="1" ht="18" customHeight="1" x14ac:dyDescent="0.2">
      <c r="GE3517" s="84"/>
      <c r="GF3517" s="84"/>
      <c r="GG3517" s="84"/>
      <c r="GH3517" s="84"/>
    </row>
    <row r="3518" spans="187:190" s="2" customFormat="1" ht="18" customHeight="1" x14ac:dyDescent="0.2">
      <c r="GE3518" s="84"/>
      <c r="GF3518" s="84"/>
      <c r="GG3518" s="84"/>
      <c r="GH3518" s="84"/>
    </row>
    <row r="3519" spans="187:190" s="2" customFormat="1" ht="18" customHeight="1" x14ac:dyDescent="0.2">
      <c r="GE3519" s="84"/>
      <c r="GF3519" s="84"/>
      <c r="GG3519" s="84"/>
      <c r="GH3519" s="84"/>
    </row>
    <row r="3520" spans="187:190" s="2" customFormat="1" ht="18" customHeight="1" x14ac:dyDescent="0.2">
      <c r="GE3520" s="84"/>
      <c r="GF3520" s="84"/>
      <c r="GG3520" s="84"/>
      <c r="GH3520" s="84"/>
    </row>
    <row r="3521" spans="187:190" s="2" customFormat="1" ht="18" customHeight="1" x14ac:dyDescent="0.2">
      <c r="GE3521" s="84"/>
      <c r="GF3521" s="84"/>
      <c r="GG3521" s="84"/>
      <c r="GH3521" s="84"/>
    </row>
    <row r="3522" spans="187:190" s="2" customFormat="1" ht="18" customHeight="1" x14ac:dyDescent="0.2">
      <c r="GE3522" s="84"/>
      <c r="GF3522" s="84"/>
      <c r="GG3522" s="84"/>
      <c r="GH3522" s="84"/>
    </row>
    <row r="3523" spans="187:190" s="2" customFormat="1" ht="18" customHeight="1" x14ac:dyDescent="0.2">
      <c r="GE3523" s="84"/>
      <c r="GF3523" s="84"/>
      <c r="GG3523" s="84"/>
      <c r="GH3523" s="84"/>
    </row>
    <row r="3524" spans="187:190" s="2" customFormat="1" ht="18" customHeight="1" x14ac:dyDescent="0.2">
      <c r="GE3524" s="84"/>
      <c r="GF3524" s="84"/>
      <c r="GG3524" s="84"/>
      <c r="GH3524" s="84"/>
    </row>
    <row r="3525" spans="187:190" s="2" customFormat="1" ht="18" customHeight="1" x14ac:dyDescent="0.2">
      <c r="GE3525" s="84"/>
      <c r="GF3525" s="84"/>
      <c r="GG3525" s="84"/>
      <c r="GH3525" s="84"/>
    </row>
    <row r="3526" spans="187:190" s="2" customFormat="1" ht="18" customHeight="1" x14ac:dyDescent="0.2">
      <c r="GE3526" s="84"/>
      <c r="GF3526" s="84"/>
      <c r="GG3526" s="84"/>
      <c r="GH3526" s="84"/>
    </row>
    <row r="3527" spans="187:190" s="2" customFormat="1" ht="18" customHeight="1" x14ac:dyDescent="0.2">
      <c r="GE3527" s="84"/>
      <c r="GF3527" s="84"/>
      <c r="GG3527" s="84"/>
      <c r="GH3527" s="84"/>
    </row>
    <row r="3528" spans="187:190" s="2" customFormat="1" ht="18" customHeight="1" x14ac:dyDescent="0.2">
      <c r="GE3528" s="84"/>
      <c r="GF3528" s="84"/>
      <c r="GG3528" s="84"/>
      <c r="GH3528" s="84"/>
    </row>
    <row r="3529" spans="187:190" s="2" customFormat="1" ht="18" customHeight="1" x14ac:dyDescent="0.2">
      <c r="GE3529" s="84"/>
      <c r="GF3529" s="84"/>
      <c r="GG3529" s="84"/>
      <c r="GH3529" s="84"/>
    </row>
    <row r="3530" spans="187:190" s="2" customFormat="1" ht="18" customHeight="1" x14ac:dyDescent="0.2">
      <c r="GE3530" s="84"/>
      <c r="GF3530" s="84"/>
      <c r="GG3530" s="84"/>
      <c r="GH3530" s="84"/>
    </row>
    <row r="3531" spans="187:190" s="2" customFormat="1" ht="18" customHeight="1" x14ac:dyDescent="0.2">
      <c r="GE3531" s="84"/>
      <c r="GF3531" s="84"/>
      <c r="GG3531" s="84"/>
      <c r="GH3531" s="84"/>
    </row>
    <row r="3532" spans="187:190" s="2" customFormat="1" ht="18" customHeight="1" x14ac:dyDescent="0.2">
      <c r="GE3532" s="84"/>
      <c r="GF3532" s="84"/>
      <c r="GG3532" s="84"/>
      <c r="GH3532" s="84"/>
    </row>
    <row r="3533" spans="187:190" s="2" customFormat="1" ht="18" customHeight="1" x14ac:dyDescent="0.2">
      <c r="GE3533" s="84"/>
      <c r="GF3533" s="84"/>
      <c r="GG3533" s="84"/>
      <c r="GH3533" s="84"/>
    </row>
    <row r="3534" spans="187:190" s="2" customFormat="1" ht="18" customHeight="1" x14ac:dyDescent="0.2">
      <c r="GE3534" s="84"/>
      <c r="GF3534" s="84"/>
      <c r="GG3534" s="84"/>
      <c r="GH3534" s="84"/>
    </row>
    <row r="3535" spans="187:190" s="2" customFormat="1" ht="18" customHeight="1" x14ac:dyDescent="0.2">
      <c r="GE3535" s="84"/>
      <c r="GF3535" s="84"/>
      <c r="GG3535" s="84"/>
      <c r="GH3535" s="84"/>
    </row>
    <row r="3536" spans="187:190" s="2" customFormat="1" ht="18" customHeight="1" x14ac:dyDescent="0.2">
      <c r="GE3536" s="84"/>
      <c r="GF3536" s="84"/>
      <c r="GG3536" s="84"/>
      <c r="GH3536" s="84"/>
    </row>
    <row r="3537" spans="187:190" s="2" customFormat="1" ht="18" customHeight="1" x14ac:dyDescent="0.2">
      <c r="GE3537" s="84"/>
      <c r="GF3537" s="84"/>
      <c r="GG3537" s="84"/>
      <c r="GH3537" s="84"/>
    </row>
    <row r="3538" spans="187:190" s="2" customFormat="1" ht="18" customHeight="1" x14ac:dyDescent="0.2">
      <c r="GE3538" s="84"/>
      <c r="GF3538" s="84"/>
      <c r="GG3538" s="84"/>
      <c r="GH3538" s="84"/>
    </row>
    <row r="3539" spans="187:190" s="2" customFormat="1" ht="18" customHeight="1" x14ac:dyDescent="0.2">
      <c r="GE3539" s="84"/>
      <c r="GF3539" s="84"/>
      <c r="GG3539" s="84"/>
      <c r="GH3539" s="84"/>
    </row>
    <row r="3540" spans="187:190" s="2" customFormat="1" ht="18" customHeight="1" x14ac:dyDescent="0.2">
      <c r="GE3540" s="84"/>
      <c r="GF3540" s="84"/>
      <c r="GG3540" s="84"/>
      <c r="GH3540" s="84"/>
    </row>
    <row r="3541" spans="187:190" s="2" customFormat="1" ht="18" customHeight="1" x14ac:dyDescent="0.2">
      <c r="GE3541" s="84"/>
      <c r="GF3541" s="84"/>
      <c r="GG3541" s="84"/>
      <c r="GH3541" s="84"/>
    </row>
    <row r="3542" spans="187:190" s="2" customFormat="1" ht="18" customHeight="1" x14ac:dyDescent="0.2">
      <c r="GE3542" s="84"/>
      <c r="GF3542" s="84"/>
      <c r="GG3542" s="84"/>
      <c r="GH3542" s="84"/>
    </row>
    <row r="3543" spans="187:190" s="2" customFormat="1" ht="18" customHeight="1" x14ac:dyDescent="0.2">
      <c r="GE3543" s="84"/>
      <c r="GF3543" s="84"/>
      <c r="GG3543" s="84"/>
      <c r="GH3543" s="84"/>
    </row>
    <row r="3544" spans="187:190" s="2" customFormat="1" ht="18" customHeight="1" x14ac:dyDescent="0.2">
      <c r="GE3544" s="84"/>
      <c r="GF3544" s="84"/>
      <c r="GG3544" s="84"/>
      <c r="GH3544" s="84"/>
    </row>
    <row r="3545" spans="187:190" s="2" customFormat="1" ht="18" customHeight="1" x14ac:dyDescent="0.2">
      <c r="GE3545" s="84"/>
      <c r="GF3545" s="84"/>
      <c r="GG3545" s="84"/>
      <c r="GH3545" s="84"/>
    </row>
    <row r="3546" spans="187:190" s="2" customFormat="1" ht="18" customHeight="1" x14ac:dyDescent="0.2">
      <c r="GE3546" s="84"/>
      <c r="GF3546" s="84"/>
      <c r="GG3546" s="84"/>
      <c r="GH3546" s="84"/>
    </row>
    <row r="3547" spans="187:190" s="2" customFormat="1" ht="18" customHeight="1" x14ac:dyDescent="0.2">
      <c r="GE3547" s="84"/>
      <c r="GF3547" s="84"/>
      <c r="GG3547" s="84"/>
      <c r="GH3547" s="84"/>
    </row>
    <row r="3548" spans="187:190" s="2" customFormat="1" ht="18" customHeight="1" x14ac:dyDescent="0.2">
      <c r="GE3548" s="84"/>
      <c r="GF3548" s="84"/>
      <c r="GG3548" s="84"/>
      <c r="GH3548" s="84"/>
    </row>
    <row r="3549" spans="187:190" s="2" customFormat="1" ht="18" customHeight="1" x14ac:dyDescent="0.2">
      <c r="GE3549" s="84"/>
      <c r="GF3549" s="84"/>
      <c r="GG3549" s="84"/>
      <c r="GH3549" s="84"/>
    </row>
    <row r="3550" spans="187:190" s="2" customFormat="1" ht="18" customHeight="1" x14ac:dyDescent="0.2">
      <c r="GE3550" s="84"/>
      <c r="GF3550" s="84"/>
      <c r="GG3550" s="84"/>
      <c r="GH3550" s="84"/>
    </row>
    <row r="3551" spans="187:190" s="2" customFormat="1" ht="18" customHeight="1" x14ac:dyDescent="0.2">
      <c r="GE3551" s="84"/>
      <c r="GF3551" s="84"/>
      <c r="GG3551" s="84"/>
      <c r="GH3551" s="84"/>
    </row>
    <row r="3552" spans="187:190" s="2" customFormat="1" ht="18" customHeight="1" x14ac:dyDescent="0.2">
      <c r="GE3552" s="84"/>
      <c r="GF3552" s="84"/>
      <c r="GG3552" s="84"/>
      <c r="GH3552" s="84"/>
    </row>
    <row r="3553" spans="187:190" s="2" customFormat="1" ht="18" customHeight="1" x14ac:dyDescent="0.2">
      <c r="GE3553" s="84"/>
      <c r="GF3553" s="84"/>
      <c r="GG3553" s="84"/>
      <c r="GH3553" s="84"/>
    </row>
    <row r="3554" spans="187:190" s="2" customFormat="1" ht="18" customHeight="1" x14ac:dyDescent="0.2">
      <c r="GE3554" s="84"/>
      <c r="GF3554" s="84"/>
      <c r="GG3554" s="84"/>
      <c r="GH3554" s="84"/>
    </row>
    <row r="3555" spans="187:190" s="2" customFormat="1" ht="18" customHeight="1" x14ac:dyDescent="0.2">
      <c r="GE3555" s="84"/>
      <c r="GF3555" s="84"/>
      <c r="GG3555" s="84"/>
      <c r="GH3555" s="84"/>
    </row>
    <row r="3556" spans="187:190" s="2" customFormat="1" ht="18" customHeight="1" x14ac:dyDescent="0.2">
      <c r="GE3556" s="84"/>
      <c r="GF3556" s="84"/>
      <c r="GG3556" s="84"/>
      <c r="GH3556" s="84"/>
    </row>
    <row r="3557" spans="187:190" s="2" customFormat="1" ht="18" customHeight="1" x14ac:dyDescent="0.2">
      <c r="GE3557" s="84"/>
      <c r="GF3557" s="84"/>
      <c r="GG3557" s="84"/>
      <c r="GH3557" s="84"/>
    </row>
    <row r="3558" spans="187:190" s="2" customFormat="1" ht="18" customHeight="1" x14ac:dyDescent="0.2">
      <c r="GE3558" s="84"/>
      <c r="GF3558" s="84"/>
      <c r="GG3558" s="84"/>
      <c r="GH3558" s="84"/>
    </row>
    <row r="3559" spans="187:190" s="2" customFormat="1" ht="18" customHeight="1" x14ac:dyDescent="0.2">
      <c r="GE3559" s="84"/>
      <c r="GF3559" s="84"/>
      <c r="GG3559" s="84"/>
      <c r="GH3559" s="84"/>
    </row>
    <row r="3560" spans="187:190" s="2" customFormat="1" ht="18" customHeight="1" x14ac:dyDescent="0.2">
      <c r="GE3560" s="84"/>
      <c r="GF3560" s="84"/>
      <c r="GG3560" s="84"/>
      <c r="GH3560" s="84"/>
    </row>
    <row r="3561" spans="187:190" s="2" customFormat="1" ht="18" customHeight="1" x14ac:dyDescent="0.2">
      <c r="GE3561" s="84"/>
      <c r="GF3561" s="84"/>
      <c r="GG3561" s="84"/>
      <c r="GH3561" s="84"/>
    </row>
    <row r="3562" spans="187:190" s="2" customFormat="1" ht="18" customHeight="1" x14ac:dyDescent="0.2">
      <c r="GE3562" s="84"/>
      <c r="GF3562" s="84"/>
      <c r="GG3562" s="84"/>
      <c r="GH3562" s="84"/>
    </row>
    <row r="3563" spans="187:190" s="2" customFormat="1" ht="18" customHeight="1" x14ac:dyDescent="0.2">
      <c r="GE3563" s="84"/>
      <c r="GF3563" s="84"/>
      <c r="GG3563" s="84"/>
      <c r="GH3563" s="84"/>
    </row>
    <row r="3564" spans="187:190" s="2" customFormat="1" ht="18" customHeight="1" x14ac:dyDescent="0.2">
      <c r="GE3564" s="84"/>
      <c r="GF3564" s="84"/>
      <c r="GG3564" s="84"/>
      <c r="GH3564" s="84"/>
    </row>
    <row r="3565" spans="187:190" s="2" customFormat="1" ht="18" customHeight="1" x14ac:dyDescent="0.2">
      <c r="GE3565" s="84"/>
      <c r="GF3565" s="84"/>
      <c r="GG3565" s="84"/>
      <c r="GH3565" s="84"/>
    </row>
    <row r="3566" spans="187:190" s="2" customFormat="1" ht="18" customHeight="1" x14ac:dyDescent="0.2">
      <c r="GE3566" s="84"/>
      <c r="GF3566" s="84"/>
      <c r="GG3566" s="84"/>
      <c r="GH3566" s="84"/>
    </row>
    <row r="3567" spans="187:190" s="2" customFormat="1" ht="18" customHeight="1" x14ac:dyDescent="0.2">
      <c r="GE3567" s="84"/>
      <c r="GF3567" s="84"/>
      <c r="GG3567" s="84"/>
      <c r="GH3567" s="84"/>
    </row>
    <row r="3568" spans="187:190" s="2" customFormat="1" ht="18" customHeight="1" x14ac:dyDescent="0.2">
      <c r="GE3568" s="84"/>
      <c r="GF3568" s="84"/>
      <c r="GG3568" s="84"/>
      <c r="GH3568" s="84"/>
    </row>
    <row r="3569" spans="187:190" s="2" customFormat="1" ht="18" customHeight="1" x14ac:dyDescent="0.2">
      <c r="GE3569" s="84"/>
      <c r="GF3569" s="84"/>
      <c r="GG3569" s="84"/>
      <c r="GH3569" s="84"/>
    </row>
    <row r="3570" spans="187:190" s="2" customFormat="1" ht="18" customHeight="1" x14ac:dyDescent="0.2">
      <c r="GE3570" s="84"/>
      <c r="GF3570" s="84"/>
      <c r="GG3570" s="84"/>
      <c r="GH3570" s="84"/>
    </row>
    <row r="3571" spans="187:190" s="2" customFormat="1" ht="18" customHeight="1" x14ac:dyDescent="0.2">
      <c r="GE3571" s="84"/>
      <c r="GF3571" s="84"/>
      <c r="GG3571" s="84"/>
      <c r="GH3571" s="84"/>
    </row>
    <row r="3572" spans="187:190" s="2" customFormat="1" ht="18" customHeight="1" x14ac:dyDescent="0.2">
      <c r="GE3572" s="84"/>
      <c r="GF3572" s="84"/>
      <c r="GG3572" s="84"/>
      <c r="GH3572" s="84"/>
    </row>
    <row r="3573" spans="187:190" s="2" customFormat="1" ht="18" customHeight="1" x14ac:dyDescent="0.2">
      <c r="GE3573" s="84"/>
      <c r="GF3573" s="84"/>
      <c r="GG3573" s="84"/>
      <c r="GH3573" s="84"/>
    </row>
    <row r="3574" spans="187:190" s="2" customFormat="1" ht="18" customHeight="1" x14ac:dyDescent="0.2">
      <c r="GE3574" s="84"/>
      <c r="GF3574" s="84"/>
      <c r="GG3574" s="84"/>
      <c r="GH3574" s="84"/>
    </row>
    <row r="3575" spans="187:190" s="2" customFormat="1" ht="18" customHeight="1" x14ac:dyDescent="0.2">
      <c r="GE3575" s="84"/>
      <c r="GF3575" s="84"/>
      <c r="GG3575" s="84"/>
      <c r="GH3575" s="84"/>
    </row>
    <row r="3576" spans="187:190" s="2" customFormat="1" ht="18" customHeight="1" x14ac:dyDescent="0.2">
      <c r="GE3576" s="84"/>
      <c r="GF3576" s="84"/>
      <c r="GG3576" s="84"/>
      <c r="GH3576" s="84"/>
    </row>
    <row r="3577" spans="187:190" s="2" customFormat="1" ht="18" customHeight="1" x14ac:dyDescent="0.2">
      <c r="GE3577" s="84"/>
      <c r="GF3577" s="84"/>
      <c r="GG3577" s="84"/>
      <c r="GH3577" s="84"/>
    </row>
    <row r="3578" spans="187:190" s="2" customFormat="1" ht="18" customHeight="1" x14ac:dyDescent="0.2">
      <c r="GE3578" s="84"/>
      <c r="GF3578" s="84"/>
      <c r="GG3578" s="84"/>
      <c r="GH3578" s="84"/>
    </row>
    <row r="3579" spans="187:190" s="2" customFormat="1" ht="18" customHeight="1" x14ac:dyDescent="0.2">
      <c r="GE3579" s="84"/>
      <c r="GF3579" s="84"/>
      <c r="GG3579" s="84"/>
      <c r="GH3579" s="84"/>
    </row>
    <row r="3580" spans="187:190" s="2" customFormat="1" ht="18" customHeight="1" x14ac:dyDescent="0.2">
      <c r="GE3580" s="84"/>
      <c r="GF3580" s="84"/>
      <c r="GG3580" s="84"/>
      <c r="GH3580" s="84"/>
    </row>
    <row r="3581" spans="187:190" s="2" customFormat="1" ht="18" customHeight="1" x14ac:dyDescent="0.2">
      <c r="GE3581" s="84"/>
      <c r="GF3581" s="84"/>
      <c r="GG3581" s="84"/>
      <c r="GH3581" s="84"/>
    </row>
    <row r="3582" spans="187:190" s="2" customFormat="1" ht="18" customHeight="1" x14ac:dyDescent="0.2">
      <c r="GE3582" s="84"/>
      <c r="GF3582" s="84"/>
      <c r="GG3582" s="84"/>
      <c r="GH3582" s="84"/>
    </row>
    <row r="3583" spans="187:190" s="2" customFormat="1" ht="18" customHeight="1" x14ac:dyDescent="0.2">
      <c r="GE3583" s="84"/>
      <c r="GF3583" s="84"/>
      <c r="GG3583" s="84"/>
      <c r="GH3583" s="84"/>
    </row>
    <row r="3584" spans="187:190" s="2" customFormat="1" ht="18" customHeight="1" x14ac:dyDescent="0.2">
      <c r="GE3584" s="84"/>
      <c r="GF3584" s="84"/>
      <c r="GG3584" s="84"/>
      <c r="GH3584" s="84"/>
    </row>
    <row r="3585" spans="187:190" s="2" customFormat="1" ht="18" customHeight="1" x14ac:dyDescent="0.2">
      <c r="GE3585" s="84"/>
      <c r="GF3585" s="84"/>
      <c r="GG3585" s="84"/>
      <c r="GH3585" s="84"/>
    </row>
    <row r="3586" spans="187:190" s="2" customFormat="1" ht="18" customHeight="1" x14ac:dyDescent="0.2">
      <c r="GE3586" s="84"/>
      <c r="GF3586" s="84"/>
      <c r="GG3586" s="84"/>
      <c r="GH3586" s="84"/>
    </row>
    <row r="3587" spans="187:190" s="2" customFormat="1" ht="18" customHeight="1" x14ac:dyDescent="0.2">
      <c r="GE3587" s="84"/>
      <c r="GF3587" s="84"/>
      <c r="GG3587" s="84"/>
      <c r="GH3587" s="84"/>
    </row>
    <row r="3588" spans="187:190" s="2" customFormat="1" ht="18" customHeight="1" x14ac:dyDescent="0.2">
      <c r="GE3588" s="84"/>
      <c r="GF3588" s="84"/>
      <c r="GG3588" s="84"/>
      <c r="GH3588" s="84"/>
    </row>
    <row r="3589" spans="187:190" s="2" customFormat="1" ht="18" customHeight="1" x14ac:dyDescent="0.2">
      <c r="GE3589" s="84"/>
      <c r="GF3589" s="84"/>
      <c r="GG3589" s="84"/>
      <c r="GH3589" s="84"/>
    </row>
    <row r="3590" spans="187:190" s="2" customFormat="1" ht="18" customHeight="1" x14ac:dyDescent="0.2">
      <c r="GE3590" s="84"/>
      <c r="GF3590" s="84"/>
      <c r="GG3590" s="84"/>
      <c r="GH3590" s="84"/>
    </row>
    <row r="3591" spans="187:190" s="2" customFormat="1" ht="18" customHeight="1" x14ac:dyDescent="0.2">
      <c r="GE3591" s="84"/>
      <c r="GF3591" s="84"/>
      <c r="GG3591" s="84"/>
      <c r="GH3591" s="84"/>
    </row>
    <row r="3592" spans="187:190" s="2" customFormat="1" ht="18" customHeight="1" x14ac:dyDescent="0.2">
      <c r="GE3592" s="84"/>
      <c r="GF3592" s="84"/>
      <c r="GG3592" s="84"/>
      <c r="GH3592" s="84"/>
    </row>
    <row r="3593" spans="187:190" s="2" customFormat="1" ht="18" customHeight="1" x14ac:dyDescent="0.2">
      <c r="GE3593" s="84"/>
      <c r="GF3593" s="84"/>
      <c r="GG3593" s="84"/>
      <c r="GH3593" s="84"/>
    </row>
    <row r="3594" spans="187:190" s="2" customFormat="1" ht="18" customHeight="1" x14ac:dyDescent="0.2">
      <c r="GE3594" s="84"/>
      <c r="GF3594" s="84"/>
      <c r="GG3594" s="84"/>
      <c r="GH3594" s="84"/>
    </row>
    <row r="3595" spans="187:190" s="2" customFormat="1" ht="18" customHeight="1" x14ac:dyDescent="0.2">
      <c r="GE3595" s="84"/>
      <c r="GF3595" s="84"/>
      <c r="GG3595" s="84"/>
      <c r="GH3595" s="84"/>
    </row>
    <row r="3596" spans="187:190" s="2" customFormat="1" ht="18" customHeight="1" x14ac:dyDescent="0.2">
      <c r="GE3596" s="84"/>
      <c r="GF3596" s="84"/>
      <c r="GG3596" s="84"/>
      <c r="GH3596" s="84"/>
    </row>
    <row r="3597" spans="187:190" s="2" customFormat="1" ht="18" customHeight="1" x14ac:dyDescent="0.2">
      <c r="GE3597" s="84"/>
      <c r="GF3597" s="84"/>
      <c r="GG3597" s="84"/>
      <c r="GH3597" s="84"/>
    </row>
    <row r="3598" spans="187:190" s="2" customFormat="1" ht="18" customHeight="1" x14ac:dyDescent="0.2">
      <c r="GE3598" s="84"/>
      <c r="GF3598" s="84"/>
      <c r="GG3598" s="84"/>
      <c r="GH3598" s="84"/>
    </row>
    <row r="3599" spans="187:190" s="2" customFormat="1" ht="18" customHeight="1" x14ac:dyDescent="0.2">
      <c r="GE3599" s="84"/>
      <c r="GF3599" s="84"/>
      <c r="GG3599" s="84"/>
      <c r="GH3599" s="84"/>
    </row>
    <row r="3600" spans="187:190" s="2" customFormat="1" ht="18" customHeight="1" x14ac:dyDescent="0.2">
      <c r="GE3600" s="84"/>
      <c r="GF3600" s="84"/>
      <c r="GG3600" s="84"/>
      <c r="GH3600" s="84"/>
    </row>
    <row r="3601" spans="187:190" s="2" customFormat="1" ht="18" customHeight="1" x14ac:dyDescent="0.2">
      <c r="GE3601" s="84"/>
      <c r="GF3601" s="84"/>
      <c r="GG3601" s="84"/>
      <c r="GH3601" s="84"/>
    </row>
    <row r="3602" spans="187:190" s="2" customFormat="1" ht="18" customHeight="1" x14ac:dyDescent="0.2">
      <c r="GE3602" s="84"/>
      <c r="GF3602" s="84"/>
      <c r="GG3602" s="84"/>
      <c r="GH3602" s="84"/>
    </row>
    <row r="3603" spans="187:190" s="2" customFormat="1" ht="18" customHeight="1" x14ac:dyDescent="0.2">
      <c r="GE3603" s="84"/>
      <c r="GF3603" s="84"/>
      <c r="GG3603" s="84"/>
      <c r="GH3603" s="84"/>
    </row>
    <row r="3604" spans="187:190" s="2" customFormat="1" ht="18" customHeight="1" x14ac:dyDescent="0.2">
      <c r="GE3604" s="84"/>
      <c r="GF3604" s="84"/>
      <c r="GG3604" s="84"/>
      <c r="GH3604" s="84"/>
    </row>
    <row r="3605" spans="187:190" s="2" customFormat="1" ht="18" customHeight="1" x14ac:dyDescent="0.2">
      <c r="GE3605" s="84"/>
      <c r="GF3605" s="84"/>
      <c r="GG3605" s="84"/>
      <c r="GH3605" s="84"/>
    </row>
    <row r="3606" spans="187:190" s="2" customFormat="1" ht="18" customHeight="1" x14ac:dyDescent="0.2">
      <c r="GE3606" s="84"/>
      <c r="GF3606" s="84"/>
      <c r="GG3606" s="84"/>
      <c r="GH3606" s="84"/>
    </row>
    <row r="3607" spans="187:190" s="2" customFormat="1" ht="18" customHeight="1" x14ac:dyDescent="0.2">
      <c r="GE3607" s="84"/>
      <c r="GF3607" s="84"/>
      <c r="GG3607" s="84"/>
      <c r="GH3607" s="84"/>
    </row>
    <row r="3608" spans="187:190" s="2" customFormat="1" ht="18" customHeight="1" x14ac:dyDescent="0.2">
      <c r="GE3608" s="84"/>
      <c r="GF3608" s="84"/>
      <c r="GG3608" s="84"/>
      <c r="GH3608" s="84"/>
    </row>
    <row r="3609" spans="187:190" s="2" customFormat="1" ht="18" customHeight="1" x14ac:dyDescent="0.2">
      <c r="GE3609" s="84"/>
      <c r="GF3609" s="84"/>
      <c r="GG3609" s="84"/>
      <c r="GH3609" s="84"/>
    </row>
    <row r="3610" spans="187:190" s="2" customFormat="1" ht="18" customHeight="1" x14ac:dyDescent="0.2">
      <c r="GE3610" s="84"/>
      <c r="GF3610" s="84"/>
      <c r="GG3610" s="84"/>
      <c r="GH3610" s="84"/>
    </row>
    <row r="3611" spans="187:190" s="2" customFormat="1" ht="18" customHeight="1" x14ac:dyDescent="0.2">
      <c r="GE3611" s="84"/>
      <c r="GF3611" s="84"/>
      <c r="GG3611" s="84"/>
      <c r="GH3611" s="84"/>
    </row>
    <row r="3612" spans="187:190" s="2" customFormat="1" ht="18" customHeight="1" x14ac:dyDescent="0.2">
      <c r="GE3612" s="84"/>
      <c r="GF3612" s="84"/>
      <c r="GG3612" s="84"/>
      <c r="GH3612" s="84"/>
    </row>
    <row r="3613" spans="187:190" s="2" customFormat="1" ht="18" customHeight="1" x14ac:dyDescent="0.2">
      <c r="GE3613" s="84"/>
      <c r="GF3613" s="84"/>
      <c r="GG3613" s="84"/>
      <c r="GH3613" s="84"/>
    </row>
    <row r="3614" spans="187:190" s="2" customFormat="1" ht="18" customHeight="1" x14ac:dyDescent="0.2">
      <c r="GE3614" s="84"/>
      <c r="GF3614" s="84"/>
      <c r="GG3614" s="84"/>
      <c r="GH3614" s="84"/>
    </row>
    <row r="3615" spans="187:190" s="2" customFormat="1" ht="18" customHeight="1" x14ac:dyDescent="0.2">
      <c r="GE3615" s="84"/>
      <c r="GF3615" s="84"/>
      <c r="GG3615" s="84"/>
      <c r="GH3615" s="84"/>
    </row>
    <row r="3616" spans="187:190" s="2" customFormat="1" ht="18" customHeight="1" x14ac:dyDescent="0.2">
      <c r="GE3616" s="84"/>
      <c r="GF3616" s="84"/>
      <c r="GG3616" s="84"/>
      <c r="GH3616" s="84"/>
    </row>
    <row r="3617" spans="187:190" s="2" customFormat="1" ht="18" customHeight="1" x14ac:dyDescent="0.2">
      <c r="GE3617" s="84"/>
      <c r="GF3617" s="84"/>
      <c r="GG3617" s="84"/>
      <c r="GH3617" s="84"/>
    </row>
    <row r="3618" spans="187:190" s="2" customFormat="1" ht="18" customHeight="1" x14ac:dyDescent="0.2">
      <c r="GE3618" s="84"/>
      <c r="GF3618" s="84"/>
      <c r="GG3618" s="84"/>
      <c r="GH3618" s="84"/>
    </row>
    <row r="3619" spans="187:190" s="2" customFormat="1" ht="18" customHeight="1" x14ac:dyDescent="0.2">
      <c r="GE3619" s="84"/>
      <c r="GF3619" s="84"/>
      <c r="GG3619" s="84"/>
      <c r="GH3619" s="84"/>
    </row>
    <row r="3620" spans="187:190" s="2" customFormat="1" ht="18" customHeight="1" x14ac:dyDescent="0.2">
      <c r="GE3620" s="84"/>
      <c r="GF3620" s="84"/>
      <c r="GG3620" s="84"/>
      <c r="GH3620" s="84"/>
    </row>
    <row r="3621" spans="187:190" s="2" customFormat="1" ht="18" customHeight="1" x14ac:dyDescent="0.2">
      <c r="GE3621" s="84"/>
      <c r="GF3621" s="84"/>
      <c r="GG3621" s="84"/>
      <c r="GH3621" s="84"/>
    </row>
    <row r="3622" spans="187:190" s="2" customFormat="1" ht="18" customHeight="1" x14ac:dyDescent="0.2">
      <c r="GE3622" s="84"/>
      <c r="GF3622" s="84"/>
      <c r="GG3622" s="84"/>
      <c r="GH3622" s="84"/>
    </row>
    <row r="3623" spans="187:190" s="2" customFormat="1" ht="18" customHeight="1" x14ac:dyDescent="0.2">
      <c r="GE3623" s="84"/>
      <c r="GF3623" s="84"/>
      <c r="GG3623" s="84"/>
      <c r="GH3623" s="84"/>
    </row>
    <row r="3624" spans="187:190" s="2" customFormat="1" ht="18" customHeight="1" x14ac:dyDescent="0.2">
      <c r="GE3624" s="84"/>
      <c r="GF3624" s="84"/>
      <c r="GG3624" s="84"/>
      <c r="GH3624" s="84"/>
    </row>
    <row r="3625" spans="187:190" s="2" customFormat="1" ht="18" customHeight="1" x14ac:dyDescent="0.2">
      <c r="GE3625" s="84"/>
      <c r="GF3625" s="84"/>
      <c r="GG3625" s="84"/>
      <c r="GH3625" s="84"/>
    </row>
    <row r="3626" spans="187:190" s="2" customFormat="1" ht="18" customHeight="1" x14ac:dyDescent="0.2">
      <c r="GE3626" s="84"/>
      <c r="GF3626" s="84"/>
      <c r="GG3626" s="84"/>
      <c r="GH3626" s="84"/>
    </row>
    <row r="3627" spans="187:190" s="2" customFormat="1" ht="18" customHeight="1" x14ac:dyDescent="0.2">
      <c r="GE3627" s="84"/>
      <c r="GF3627" s="84"/>
      <c r="GG3627" s="84"/>
      <c r="GH3627" s="84"/>
    </row>
    <row r="3628" spans="187:190" s="2" customFormat="1" ht="18" customHeight="1" x14ac:dyDescent="0.2">
      <c r="GE3628" s="84"/>
      <c r="GF3628" s="84"/>
      <c r="GG3628" s="84"/>
      <c r="GH3628" s="84"/>
    </row>
    <row r="3629" spans="187:190" s="2" customFormat="1" ht="18" customHeight="1" x14ac:dyDescent="0.2">
      <c r="GE3629" s="84"/>
      <c r="GF3629" s="84"/>
      <c r="GG3629" s="84"/>
      <c r="GH3629" s="84"/>
    </row>
    <row r="3630" spans="187:190" s="2" customFormat="1" ht="18" customHeight="1" x14ac:dyDescent="0.2">
      <c r="GE3630" s="84"/>
      <c r="GF3630" s="84"/>
      <c r="GG3630" s="84"/>
      <c r="GH3630" s="84"/>
    </row>
    <row r="3631" spans="187:190" s="2" customFormat="1" ht="18" customHeight="1" x14ac:dyDescent="0.2">
      <c r="GE3631" s="84"/>
      <c r="GF3631" s="84"/>
      <c r="GG3631" s="84"/>
      <c r="GH3631" s="84"/>
    </row>
    <row r="3632" spans="187:190" s="2" customFormat="1" ht="18" customHeight="1" x14ac:dyDescent="0.2">
      <c r="GE3632" s="84"/>
      <c r="GF3632" s="84"/>
      <c r="GG3632" s="84"/>
      <c r="GH3632" s="84"/>
    </row>
    <row r="3633" spans="187:190" s="2" customFormat="1" ht="18" customHeight="1" x14ac:dyDescent="0.2">
      <c r="GE3633" s="84"/>
      <c r="GF3633" s="84"/>
      <c r="GG3633" s="84"/>
      <c r="GH3633" s="84"/>
    </row>
    <row r="3634" spans="187:190" s="2" customFormat="1" ht="18" customHeight="1" x14ac:dyDescent="0.2">
      <c r="GE3634" s="84"/>
      <c r="GF3634" s="84"/>
      <c r="GG3634" s="84"/>
      <c r="GH3634" s="84"/>
    </row>
    <row r="3635" spans="187:190" s="2" customFormat="1" ht="18" customHeight="1" x14ac:dyDescent="0.2">
      <c r="GE3635" s="84"/>
      <c r="GF3635" s="84"/>
      <c r="GG3635" s="84"/>
      <c r="GH3635" s="84"/>
    </row>
    <row r="3636" spans="187:190" s="2" customFormat="1" ht="18" customHeight="1" x14ac:dyDescent="0.2">
      <c r="GE3636" s="84"/>
      <c r="GF3636" s="84"/>
      <c r="GG3636" s="84"/>
      <c r="GH3636" s="84"/>
    </row>
    <row r="3637" spans="187:190" s="2" customFormat="1" ht="18" customHeight="1" x14ac:dyDescent="0.2">
      <c r="GE3637" s="84"/>
      <c r="GF3637" s="84"/>
      <c r="GG3637" s="84"/>
      <c r="GH3637" s="84"/>
    </row>
    <row r="3638" spans="187:190" s="2" customFormat="1" ht="18" customHeight="1" x14ac:dyDescent="0.2">
      <c r="GE3638" s="84"/>
      <c r="GF3638" s="84"/>
      <c r="GG3638" s="84"/>
      <c r="GH3638" s="84"/>
    </row>
    <row r="3639" spans="187:190" s="2" customFormat="1" ht="18" customHeight="1" x14ac:dyDescent="0.2">
      <c r="GE3639" s="84"/>
      <c r="GF3639" s="84"/>
      <c r="GG3639" s="84"/>
      <c r="GH3639" s="84"/>
    </row>
    <row r="3640" spans="187:190" s="2" customFormat="1" ht="18" customHeight="1" x14ac:dyDescent="0.2">
      <c r="GE3640" s="84"/>
      <c r="GF3640" s="84"/>
      <c r="GG3640" s="84"/>
      <c r="GH3640" s="84"/>
    </row>
    <row r="3641" spans="187:190" s="2" customFormat="1" ht="18" customHeight="1" x14ac:dyDescent="0.2">
      <c r="GE3641" s="84"/>
      <c r="GF3641" s="84"/>
      <c r="GG3641" s="84"/>
      <c r="GH3641" s="84"/>
    </row>
    <row r="3642" spans="187:190" s="2" customFormat="1" ht="18" customHeight="1" x14ac:dyDescent="0.2">
      <c r="GE3642" s="84"/>
      <c r="GF3642" s="84"/>
      <c r="GG3642" s="84"/>
      <c r="GH3642" s="84"/>
    </row>
    <row r="3643" spans="187:190" s="2" customFormat="1" ht="18" customHeight="1" x14ac:dyDescent="0.2">
      <c r="GE3643" s="84"/>
      <c r="GF3643" s="84"/>
      <c r="GG3643" s="84"/>
      <c r="GH3643" s="84"/>
    </row>
    <row r="3644" spans="187:190" s="2" customFormat="1" ht="18" customHeight="1" x14ac:dyDescent="0.2">
      <c r="GE3644" s="84"/>
      <c r="GF3644" s="84"/>
      <c r="GG3644" s="84"/>
      <c r="GH3644" s="84"/>
    </row>
    <row r="3645" spans="187:190" s="2" customFormat="1" ht="18" customHeight="1" x14ac:dyDescent="0.2">
      <c r="GE3645" s="84"/>
      <c r="GF3645" s="84"/>
      <c r="GG3645" s="84"/>
      <c r="GH3645" s="84"/>
    </row>
    <row r="3646" spans="187:190" s="2" customFormat="1" ht="18" customHeight="1" x14ac:dyDescent="0.2">
      <c r="GE3646" s="84"/>
      <c r="GF3646" s="84"/>
      <c r="GG3646" s="84"/>
      <c r="GH3646" s="84"/>
    </row>
    <row r="3647" spans="187:190" s="2" customFormat="1" ht="18" customHeight="1" x14ac:dyDescent="0.2">
      <c r="GE3647" s="84"/>
      <c r="GF3647" s="84"/>
      <c r="GG3647" s="84"/>
      <c r="GH3647" s="84"/>
    </row>
    <row r="3648" spans="187:190" s="2" customFormat="1" ht="18" customHeight="1" x14ac:dyDescent="0.2">
      <c r="GE3648" s="84"/>
      <c r="GF3648" s="84"/>
      <c r="GG3648" s="84"/>
      <c r="GH3648" s="84"/>
    </row>
    <row r="3649" spans="187:190" s="2" customFormat="1" ht="18" customHeight="1" x14ac:dyDescent="0.2">
      <c r="GE3649" s="84"/>
      <c r="GF3649" s="84"/>
      <c r="GG3649" s="84"/>
      <c r="GH3649" s="84"/>
    </row>
    <row r="3650" spans="187:190" s="2" customFormat="1" ht="18" customHeight="1" x14ac:dyDescent="0.2">
      <c r="GE3650" s="84"/>
      <c r="GF3650" s="84"/>
      <c r="GG3650" s="84"/>
      <c r="GH3650" s="84"/>
    </row>
    <row r="3651" spans="187:190" s="2" customFormat="1" ht="18" customHeight="1" x14ac:dyDescent="0.2">
      <c r="GE3651" s="84"/>
      <c r="GF3651" s="84"/>
      <c r="GG3651" s="84"/>
      <c r="GH3651" s="84"/>
    </row>
    <row r="3652" spans="187:190" s="2" customFormat="1" ht="18" customHeight="1" x14ac:dyDescent="0.2">
      <c r="GE3652" s="84"/>
      <c r="GF3652" s="84"/>
      <c r="GG3652" s="84"/>
      <c r="GH3652" s="84"/>
    </row>
    <row r="3653" spans="187:190" s="2" customFormat="1" ht="18" customHeight="1" x14ac:dyDescent="0.2">
      <c r="GE3653" s="84"/>
      <c r="GF3653" s="84"/>
      <c r="GG3653" s="84"/>
      <c r="GH3653" s="84"/>
    </row>
    <row r="3654" spans="187:190" s="2" customFormat="1" ht="18" customHeight="1" x14ac:dyDescent="0.2">
      <c r="GE3654" s="84"/>
      <c r="GF3654" s="84"/>
      <c r="GG3654" s="84"/>
      <c r="GH3654" s="84"/>
    </row>
    <row r="3655" spans="187:190" s="2" customFormat="1" ht="18" customHeight="1" x14ac:dyDescent="0.2">
      <c r="GE3655" s="84"/>
      <c r="GF3655" s="84"/>
      <c r="GG3655" s="84"/>
      <c r="GH3655" s="84"/>
    </row>
    <row r="3656" spans="187:190" s="2" customFormat="1" ht="18" customHeight="1" x14ac:dyDescent="0.2">
      <c r="GE3656" s="84"/>
      <c r="GF3656" s="84"/>
      <c r="GG3656" s="84"/>
      <c r="GH3656" s="84"/>
    </row>
    <row r="3657" spans="187:190" s="2" customFormat="1" ht="18" customHeight="1" x14ac:dyDescent="0.2">
      <c r="GE3657" s="84"/>
      <c r="GF3657" s="84"/>
      <c r="GG3657" s="84"/>
      <c r="GH3657" s="84"/>
    </row>
    <row r="3658" spans="187:190" s="2" customFormat="1" ht="18" customHeight="1" x14ac:dyDescent="0.2">
      <c r="GE3658" s="84"/>
      <c r="GF3658" s="84"/>
      <c r="GG3658" s="84"/>
      <c r="GH3658" s="84"/>
    </row>
    <row r="3659" spans="187:190" s="2" customFormat="1" ht="18" customHeight="1" x14ac:dyDescent="0.2">
      <c r="GE3659" s="84"/>
      <c r="GF3659" s="84"/>
      <c r="GG3659" s="84"/>
      <c r="GH3659" s="84"/>
    </row>
    <row r="3660" spans="187:190" s="2" customFormat="1" ht="18" customHeight="1" x14ac:dyDescent="0.2">
      <c r="GE3660" s="84"/>
      <c r="GF3660" s="84"/>
      <c r="GG3660" s="84"/>
      <c r="GH3660" s="84"/>
    </row>
    <row r="3661" spans="187:190" s="2" customFormat="1" ht="18" customHeight="1" x14ac:dyDescent="0.2">
      <c r="GE3661" s="84"/>
      <c r="GF3661" s="84"/>
      <c r="GG3661" s="84"/>
      <c r="GH3661" s="84"/>
    </row>
    <row r="3662" spans="187:190" s="2" customFormat="1" ht="18" customHeight="1" x14ac:dyDescent="0.2">
      <c r="GE3662" s="84"/>
      <c r="GF3662" s="84"/>
      <c r="GG3662" s="84"/>
      <c r="GH3662" s="84"/>
    </row>
    <row r="3663" spans="187:190" s="2" customFormat="1" ht="18" customHeight="1" x14ac:dyDescent="0.2">
      <c r="GE3663" s="84"/>
      <c r="GF3663" s="84"/>
      <c r="GG3663" s="84"/>
      <c r="GH3663" s="84"/>
    </row>
    <row r="3664" spans="187:190" s="2" customFormat="1" ht="18" customHeight="1" x14ac:dyDescent="0.2">
      <c r="GE3664" s="84"/>
      <c r="GF3664" s="84"/>
      <c r="GG3664" s="84"/>
      <c r="GH3664" s="84"/>
    </row>
    <row r="3665" spans="187:190" s="2" customFormat="1" ht="18" customHeight="1" x14ac:dyDescent="0.2">
      <c r="GE3665" s="84"/>
      <c r="GF3665" s="84"/>
      <c r="GG3665" s="84"/>
      <c r="GH3665" s="84"/>
    </row>
    <row r="3666" spans="187:190" s="2" customFormat="1" ht="18" customHeight="1" x14ac:dyDescent="0.2">
      <c r="GE3666" s="84"/>
      <c r="GF3666" s="84"/>
      <c r="GG3666" s="84"/>
      <c r="GH3666" s="84"/>
    </row>
    <row r="3667" spans="187:190" s="2" customFormat="1" ht="18" customHeight="1" x14ac:dyDescent="0.2">
      <c r="GE3667" s="84"/>
      <c r="GF3667" s="84"/>
      <c r="GG3667" s="84"/>
      <c r="GH3667" s="84"/>
    </row>
    <row r="3668" spans="187:190" s="2" customFormat="1" ht="18" customHeight="1" x14ac:dyDescent="0.2">
      <c r="GE3668" s="84"/>
      <c r="GF3668" s="84"/>
      <c r="GG3668" s="84"/>
      <c r="GH3668" s="84"/>
    </row>
    <row r="3669" spans="187:190" s="2" customFormat="1" ht="18" customHeight="1" x14ac:dyDescent="0.2">
      <c r="GE3669" s="84"/>
      <c r="GF3669" s="84"/>
      <c r="GG3669" s="84"/>
      <c r="GH3669" s="84"/>
    </row>
    <row r="3670" spans="187:190" s="2" customFormat="1" ht="18" customHeight="1" x14ac:dyDescent="0.2">
      <c r="GE3670" s="84"/>
      <c r="GF3670" s="84"/>
      <c r="GG3670" s="84"/>
      <c r="GH3670" s="84"/>
    </row>
    <row r="3671" spans="187:190" s="2" customFormat="1" ht="18" customHeight="1" x14ac:dyDescent="0.2">
      <c r="GE3671" s="84"/>
      <c r="GF3671" s="84"/>
      <c r="GG3671" s="84"/>
      <c r="GH3671" s="84"/>
    </row>
    <row r="3672" spans="187:190" s="2" customFormat="1" ht="18" customHeight="1" x14ac:dyDescent="0.2">
      <c r="GE3672" s="84"/>
      <c r="GF3672" s="84"/>
      <c r="GG3672" s="84"/>
      <c r="GH3672" s="84"/>
    </row>
    <row r="3673" spans="187:190" s="2" customFormat="1" ht="18" customHeight="1" x14ac:dyDescent="0.2">
      <c r="GE3673" s="84"/>
      <c r="GF3673" s="84"/>
      <c r="GG3673" s="84"/>
      <c r="GH3673" s="84"/>
    </row>
    <row r="3674" spans="187:190" s="2" customFormat="1" ht="18" customHeight="1" x14ac:dyDescent="0.2">
      <c r="GE3674" s="84"/>
      <c r="GF3674" s="84"/>
      <c r="GG3674" s="84"/>
      <c r="GH3674" s="84"/>
    </row>
    <row r="3675" spans="187:190" s="2" customFormat="1" ht="18" customHeight="1" x14ac:dyDescent="0.2">
      <c r="GE3675" s="84"/>
      <c r="GF3675" s="84"/>
      <c r="GG3675" s="84"/>
      <c r="GH3675" s="84"/>
    </row>
    <row r="3676" spans="187:190" s="2" customFormat="1" ht="18" customHeight="1" x14ac:dyDescent="0.2">
      <c r="GE3676" s="84"/>
      <c r="GF3676" s="84"/>
      <c r="GG3676" s="84"/>
      <c r="GH3676" s="84"/>
    </row>
    <row r="3677" spans="187:190" s="2" customFormat="1" ht="18" customHeight="1" x14ac:dyDescent="0.2">
      <c r="GE3677" s="84"/>
      <c r="GF3677" s="84"/>
      <c r="GG3677" s="84"/>
      <c r="GH3677" s="84"/>
    </row>
    <row r="3678" spans="187:190" s="2" customFormat="1" ht="18" customHeight="1" x14ac:dyDescent="0.2">
      <c r="GE3678" s="84"/>
      <c r="GF3678" s="84"/>
      <c r="GG3678" s="84"/>
      <c r="GH3678" s="84"/>
    </row>
    <row r="3679" spans="187:190" s="2" customFormat="1" ht="18" customHeight="1" x14ac:dyDescent="0.2">
      <c r="GE3679" s="84"/>
      <c r="GF3679" s="84"/>
      <c r="GG3679" s="84"/>
      <c r="GH3679" s="84"/>
    </row>
    <row r="3680" spans="187:190" s="2" customFormat="1" ht="18" customHeight="1" x14ac:dyDescent="0.2">
      <c r="GE3680" s="84"/>
      <c r="GF3680" s="84"/>
      <c r="GG3680" s="84"/>
      <c r="GH3680" s="84"/>
    </row>
    <row r="3681" spans="187:190" s="2" customFormat="1" ht="18" customHeight="1" x14ac:dyDescent="0.2">
      <c r="GE3681" s="84"/>
      <c r="GF3681" s="84"/>
      <c r="GG3681" s="84"/>
      <c r="GH3681" s="84"/>
    </row>
    <row r="3682" spans="187:190" s="2" customFormat="1" ht="18" customHeight="1" x14ac:dyDescent="0.2">
      <c r="GE3682" s="84"/>
      <c r="GF3682" s="84"/>
      <c r="GG3682" s="84"/>
      <c r="GH3682" s="84"/>
    </row>
    <row r="3683" spans="187:190" s="2" customFormat="1" ht="18" customHeight="1" x14ac:dyDescent="0.2">
      <c r="GE3683" s="84"/>
      <c r="GF3683" s="84"/>
      <c r="GG3683" s="84"/>
      <c r="GH3683" s="84"/>
    </row>
    <row r="3684" spans="187:190" s="2" customFormat="1" ht="18" customHeight="1" x14ac:dyDescent="0.2">
      <c r="GE3684" s="84"/>
      <c r="GF3684" s="84"/>
      <c r="GG3684" s="84"/>
      <c r="GH3684" s="84"/>
    </row>
    <row r="3685" spans="187:190" s="2" customFormat="1" ht="18" customHeight="1" x14ac:dyDescent="0.2">
      <c r="GE3685" s="84"/>
      <c r="GF3685" s="84"/>
      <c r="GG3685" s="84"/>
      <c r="GH3685" s="84"/>
    </row>
    <row r="3686" spans="187:190" s="2" customFormat="1" ht="18" customHeight="1" x14ac:dyDescent="0.2">
      <c r="GE3686" s="84"/>
      <c r="GF3686" s="84"/>
      <c r="GG3686" s="84"/>
      <c r="GH3686" s="84"/>
    </row>
    <row r="3687" spans="187:190" s="2" customFormat="1" ht="18" customHeight="1" x14ac:dyDescent="0.2">
      <c r="GE3687" s="84"/>
      <c r="GF3687" s="84"/>
      <c r="GG3687" s="84"/>
      <c r="GH3687" s="84"/>
    </row>
    <row r="3688" spans="187:190" s="2" customFormat="1" ht="18" customHeight="1" x14ac:dyDescent="0.2">
      <c r="GE3688" s="84"/>
      <c r="GF3688" s="84"/>
      <c r="GG3688" s="84"/>
      <c r="GH3688" s="84"/>
    </row>
    <row r="3689" spans="187:190" s="2" customFormat="1" ht="18" customHeight="1" x14ac:dyDescent="0.2">
      <c r="GE3689" s="84"/>
      <c r="GF3689" s="84"/>
      <c r="GG3689" s="84"/>
      <c r="GH3689" s="84"/>
    </row>
    <row r="3690" spans="187:190" s="2" customFormat="1" ht="18" customHeight="1" x14ac:dyDescent="0.2">
      <c r="GE3690" s="84"/>
      <c r="GF3690" s="84"/>
      <c r="GG3690" s="84"/>
      <c r="GH3690" s="84"/>
    </row>
    <row r="3691" spans="187:190" s="2" customFormat="1" ht="18" customHeight="1" x14ac:dyDescent="0.2">
      <c r="GE3691" s="84"/>
      <c r="GF3691" s="84"/>
      <c r="GG3691" s="84"/>
      <c r="GH3691" s="84"/>
    </row>
    <row r="3692" spans="187:190" s="2" customFormat="1" ht="18" customHeight="1" x14ac:dyDescent="0.2">
      <c r="GE3692" s="84"/>
      <c r="GF3692" s="84"/>
      <c r="GG3692" s="84"/>
      <c r="GH3692" s="84"/>
    </row>
    <row r="3693" spans="187:190" s="2" customFormat="1" ht="18" customHeight="1" x14ac:dyDescent="0.2">
      <c r="GE3693" s="84"/>
      <c r="GF3693" s="84"/>
      <c r="GG3693" s="84"/>
      <c r="GH3693" s="84"/>
    </row>
    <row r="3694" spans="187:190" s="2" customFormat="1" ht="18" customHeight="1" x14ac:dyDescent="0.2">
      <c r="GE3694" s="84"/>
      <c r="GF3694" s="84"/>
      <c r="GG3694" s="84"/>
      <c r="GH3694" s="84"/>
    </row>
    <row r="3695" spans="187:190" s="2" customFormat="1" ht="18" customHeight="1" x14ac:dyDescent="0.2">
      <c r="GE3695" s="84"/>
      <c r="GF3695" s="84"/>
      <c r="GG3695" s="84"/>
      <c r="GH3695" s="84"/>
    </row>
    <row r="3696" spans="187:190" s="2" customFormat="1" ht="18" customHeight="1" x14ac:dyDescent="0.2">
      <c r="GE3696" s="84"/>
      <c r="GF3696" s="84"/>
      <c r="GG3696" s="84"/>
      <c r="GH3696" s="84"/>
    </row>
    <row r="3697" spans="187:190" s="2" customFormat="1" ht="18" customHeight="1" x14ac:dyDescent="0.2">
      <c r="GE3697" s="84"/>
      <c r="GF3697" s="84"/>
      <c r="GG3697" s="84"/>
      <c r="GH3697" s="84"/>
    </row>
    <row r="3698" spans="187:190" s="2" customFormat="1" ht="18" customHeight="1" x14ac:dyDescent="0.2">
      <c r="GE3698" s="84"/>
      <c r="GF3698" s="84"/>
      <c r="GG3698" s="84"/>
      <c r="GH3698" s="84"/>
    </row>
    <row r="3699" spans="187:190" s="2" customFormat="1" ht="18" customHeight="1" x14ac:dyDescent="0.2">
      <c r="GE3699" s="84"/>
      <c r="GF3699" s="84"/>
      <c r="GG3699" s="84"/>
      <c r="GH3699" s="84"/>
    </row>
    <row r="3700" spans="187:190" s="2" customFormat="1" ht="18" customHeight="1" x14ac:dyDescent="0.2">
      <c r="GE3700" s="84"/>
      <c r="GF3700" s="84"/>
      <c r="GG3700" s="84"/>
      <c r="GH3700" s="84"/>
    </row>
    <row r="3701" spans="187:190" s="2" customFormat="1" ht="18" customHeight="1" x14ac:dyDescent="0.2">
      <c r="GE3701" s="84"/>
      <c r="GF3701" s="84"/>
      <c r="GG3701" s="84"/>
      <c r="GH3701" s="84"/>
    </row>
    <row r="3702" spans="187:190" s="2" customFormat="1" ht="18" customHeight="1" x14ac:dyDescent="0.2">
      <c r="GE3702" s="84"/>
      <c r="GF3702" s="84"/>
      <c r="GG3702" s="84"/>
      <c r="GH3702" s="84"/>
    </row>
    <row r="3703" spans="187:190" s="2" customFormat="1" ht="18" customHeight="1" x14ac:dyDescent="0.2">
      <c r="GE3703" s="84"/>
      <c r="GF3703" s="84"/>
      <c r="GG3703" s="84"/>
      <c r="GH3703" s="84"/>
    </row>
    <row r="3704" spans="187:190" s="2" customFormat="1" ht="18" customHeight="1" x14ac:dyDescent="0.2">
      <c r="GE3704" s="84"/>
      <c r="GF3704" s="84"/>
      <c r="GG3704" s="84"/>
      <c r="GH3704" s="84"/>
    </row>
    <row r="3705" spans="187:190" s="2" customFormat="1" ht="18" customHeight="1" x14ac:dyDescent="0.2">
      <c r="GE3705" s="84"/>
      <c r="GF3705" s="84"/>
      <c r="GG3705" s="84"/>
      <c r="GH3705" s="84"/>
    </row>
    <row r="3706" spans="187:190" s="2" customFormat="1" ht="18" customHeight="1" x14ac:dyDescent="0.2">
      <c r="GE3706" s="84"/>
      <c r="GF3706" s="84"/>
      <c r="GG3706" s="84"/>
      <c r="GH3706" s="84"/>
    </row>
    <row r="3707" spans="187:190" s="2" customFormat="1" ht="18" customHeight="1" x14ac:dyDescent="0.2">
      <c r="GE3707" s="84"/>
      <c r="GF3707" s="84"/>
      <c r="GG3707" s="84"/>
      <c r="GH3707" s="84"/>
    </row>
    <row r="3708" spans="187:190" s="2" customFormat="1" ht="18" customHeight="1" x14ac:dyDescent="0.2">
      <c r="GE3708" s="84"/>
      <c r="GF3708" s="84"/>
      <c r="GG3708" s="84"/>
      <c r="GH3708" s="84"/>
    </row>
    <row r="3709" spans="187:190" s="2" customFormat="1" ht="18" customHeight="1" x14ac:dyDescent="0.2">
      <c r="GE3709" s="84"/>
      <c r="GF3709" s="84"/>
      <c r="GG3709" s="84"/>
      <c r="GH3709" s="84"/>
    </row>
    <row r="3710" spans="187:190" s="2" customFormat="1" ht="18" customHeight="1" x14ac:dyDescent="0.2">
      <c r="GE3710" s="84"/>
      <c r="GF3710" s="84"/>
      <c r="GG3710" s="84"/>
      <c r="GH3710" s="84"/>
    </row>
    <row r="3711" spans="187:190" s="2" customFormat="1" ht="18" customHeight="1" x14ac:dyDescent="0.2">
      <c r="GE3711" s="84"/>
      <c r="GF3711" s="84"/>
      <c r="GG3711" s="84"/>
      <c r="GH3711" s="84"/>
    </row>
    <row r="3712" spans="187:190" s="2" customFormat="1" ht="18" customHeight="1" x14ac:dyDescent="0.2">
      <c r="GE3712" s="84"/>
      <c r="GF3712" s="84"/>
      <c r="GG3712" s="84"/>
      <c r="GH3712" s="84"/>
    </row>
    <row r="3713" spans="187:190" s="2" customFormat="1" ht="18" customHeight="1" x14ac:dyDescent="0.2">
      <c r="GE3713" s="84"/>
      <c r="GF3713" s="84"/>
      <c r="GG3713" s="84"/>
      <c r="GH3713" s="84"/>
    </row>
    <row r="3714" spans="187:190" s="2" customFormat="1" ht="18" customHeight="1" x14ac:dyDescent="0.2">
      <c r="GE3714" s="84"/>
      <c r="GF3714" s="84"/>
      <c r="GG3714" s="84"/>
      <c r="GH3714" s="84"/>
    </row>
    <row r="3715" spans="187:190" s="2" customFormat="1" ht="18" customHeight="1" x14ac:dyDescent="0.2">
      <c r="GE3715" s="84"/>
      <c r="GF3715" s="84"/>
      <c r="GG3715" s="84"/>
      <c r="GH3715" s="84"/>
    </row>
    <row r="3716" spans="187:190" s="2" customFormat="1" ht="18" customHeight="1" x14ac:dyDescent="0.2">
      <c r="GE3716" s="84"/>
      <c r="GF3716" s="84"/>
      <c r="GG3716" s="84"/>
      <c r="GH3716" s="84"/>
    </row>
    <row r="3717" spans="187:190" s="2" customFormat="1" ht="18" customHeight="1" x14ac:dyDescent="0.2">
      <c r="GE3717" s="84"/>
      <c r="GF3717" s="84"/>
      <c r="GG3717" s="84"/>
      <c r="GH3717" s="84"/>
    </row>
    <row r="3718" spans="187:190" s="2" customFormat="1" ht="18" customHeight="1" x14ac:dyDescent="0.2">
      <c r="GE3718" s="84"/>
      <c r="GF3718" s="84"/>
      <c r="GG3718" s="84"/>
      <c r="GH3718" s="84"/>
    </row>
    <row r="3719" spans="187:190" s="2" customFormat="1" ht="18" customHeight="1" x14ac:dyDescent="0.2">
      <c r="GE3719" s="84"/>
      <c r="GF3719" s="84"/>
      <c r="GG3719" s="84"/>
      <c r="GH3719" s="84"/>
    </row>
    <row r="3720" spans="187:190" s="2" customFormat="1" ht="18" customHeight="1" x14ac:dyDescent="0.2">
      <c r="GE3720" s="84"/>
      <c r="GF3720" s="84"/>
      <c r="GG3720" s="84"/>
      <c r="GH3720" s="84"/>
    </row>
    <row r="3721" spans="187:190" s="2" customFormat="1" ht="18" customHeight="1" x14ac:dyDescent="0.2">
      <c r="GE3721" s="84"/>
      <c r="GF3721" s="84"/>
      <c r="GG3721" s="84"/>
      <c r="GH3721" s="84"/>
    </row>
    <row r="3722" spans="187:190" s="2" customFormat="1" ht="18" customHeight="1" x14ac:dyDescent="0.2">
      <c r="GE3722" s="84"/>
      <c r="GF3722" s="84"/>
      <c r="GG3722" s="84"/>
      <c r="GH3722" s="84"/>
    </row>
    <row r="3723" spans="187:190" s="2" customFormat="1" ht="18" customHeight="1" x14ac:dyDescent="0.2">
      <c r="GE3723" s="84"/>
      <c r="GF3723" s="84"/>
      <c r="GG3723" s="84"/>
      <c r="GH3723" s="84"/>
    </row>
    <row r="3724" spans="187:190" s="2" customFormat="1" ht="18" customHeight="1" x14ac:dyDescent="0.2">
      <c r="GE3724" s="84"/>
      <c r="GF3724" s="84"/>
      <c r="GG3724" s="84"/>
      <c r="GH3724" s="84"/>
    </row>
    <row r="3725" spans="187:190" s="2" customFormat="1" ht="18" customHeight="1" x14ac:dyDescent="0.2">
      <c r="GE3725" s="84"/>
      <c r="GF3725" s="84"/>
      <c r="GG3725" s="84"/>
      <c r="GH3725" s="84"/>
    </row>
    <row r="3726" spans="187:190" s="2" customFormat="1" ht="18" customHeight="1" x14ac:dyDescent="0.2">
      <c r="GE3726" s="84"/>
      <c r="GF3726" s="84"/>
      <c r="GG3726" s="84"/>
      <c r="GH3726" s="84"/>
    </row>
    <row r="3727" spans="187:190" s="2" customFormat="1" ht="18" customHeight="1" x14ac:dyDescent="0.2">
      <c r="GE3727" s="84"/>
      <c r="GF3727" s="84"/>
      <c r="GG3727" s="84"/>
      <c r="GH3727" s="84"/>
    </row>
    <row r="3728" spans="187:190" s="2" customFormat="1" ht="18" customHeight="1" x14ac:dyDescent="0.2">
      <c r="GE3728" s="84"/>
      <c r="GF3728" s="84"/>
      <c r="GG3728" s="84"/>
      <c r="GH3728" s="84"/>
    </row>
    <row r="3729" spans="187:190" s="2" customFormat="1" ht="18" customHeight="1" x14ac:dyDescent="0.2">
      <c r="GE3729" s="84"/>
      <c r="GF3729" s="84"/>
      <c r="GG3729" s="84"/>
      <c r="GH3729" s="84"/>
    </row>
    <row r="3730" spans="187:190" s="2" customFormat="1" ht="18" customHeight="1" x14ac:dyDescent="0.2">
      <c r="GE3730" s="84"/>
      <c r="GF3730" s="84"/>
      <c r="GG3730" s="84"/>
      <c r="GH3730" s="84"/>
    </row>
    <row r="3731" spans="187:190" s="2" customFormat="1" ht="18" customHeight="1" x14ac:dyDescent="0.2">
      <c r="GE3731" s="84"/>
      <c r="GF3731" s="84"/>
      <c r="GG3731" s="84"/>
      <c r="GH3731" s="84"/>
    </row>
    <row r="3732" spans="187:190" s="2" customFormat="1" ht="18" customHeight="1" x14ac:dyDescent="0.2">
      <c r="GE3732" s="84"/>
      <c r="GF3732" s="84"/>
      <c r="GG3732" s="84"/>
      <c r="GH3732" s="84"/>
    </row>
    <row r="3733" spans="187:190" s="2" customFormat="1" ht="18" customHeight="1" x14ac:dyDescent="0.2">
      <c r="GE3733" s="84"/>
      <c r="GF3733" s="84"/>
      <c r="GG3733" s="84"/>
      <c r="GH3733" s="84"/>
    </row>
    <row r="3734" spans="187:190" s="2" customFormat="1" ht="18" customHeight="1" x14ac:dyDescent="0.2">
      <c r="GE3734" s="84"/>
      <c r="GF3734" s="84"/>
      <c r="GG3734" s="84"/>
      <c r="GH3734" s="84"/>
    </row>
    <row r="3735" spans="187:190" s="2" customFormat="1" ht="18" customHeight="1" x14ac:dyDescent="0.2">
      <c r="GE3735" s="84"/>
      <c r="GF3735" s="84"/>
      <c r="GG3735" s="84"/>
      <c r="GH3735" s="84"/>
    </row>
    <row r="3736" spans="187:190" s="2" customFormat="1" ht="18" customHeight="1" x14ac:dyDescent="0.2">
      <c r="GE3736" s="84"/>
      <c r="GF3736" s="84"/>
      <c r="GG3736" s="84"/>
      <c r="GH3736" s="84"/>
    </row>
    <row r="3737" spans="187:190" s="2" customFormat="1" ht="18" customHeight="1" x14ac:dyDescent="0.2">
      <c r="GE3737" s="84"/>
      <c r="GF3737" s="84"/>
      <c r="GG3737" s="84"/>
      <c r="GH3737" s="84"/>
    </row>
    <row r="3738" spans="187:190" s="2" customFormat="1" ht="18" customHeight="1" x14ac:dyDescent="0.2">
      <c r="GE3738" s="84"/>
      <c r="GF3738" s="84"/>
      <c r="GG3738" s="84"/>
      <c r="GH3738" s="84"/>
    </row>
    <row r="3739" spans="187:190" s="2" customFormat="1" ht="18" customHeight="1" x14ac:dyDescent="0.2">
      <c r="GE3739" s="84"/>
      <c r="GF3739" s="84"/>
      <c r="GG3739" s="84"/>
      <c r="GH3739" s="84"/>
    </row>
    <row r="3740" spans="187:190" s="2" customFormat="1" ht="18" customHeight="1" x14ac:dyDescent="0.2">
      <c r="GE3740" s="84"/>
      <c r="GF3740" s="84"/>
      <c r="GG3740" s="84"/>
      <c r="GH3740" s="84"/>
    </row>
    <row r="3741" spans="187:190" s="2" customFormat="1" ht="18" customHeight="1" x14ac:dyDescent="0.2">
      <c r="GE3741" s="84"/>
      <c r="GF3741" s="84"/>
      <c r="GG3741" s="84"/>
      <c r="GH3741" s="84"/>
    </row>
    <row r="3742" spans="187:190" s="2" customFormat="1" ht="18" customHeight="1" x14ac:dyDescent="0.2">
      <c r="GE3742" s="84"/>
      <c r="GF3742" s="84"/>
      <c r="GG3742" s="84"/>
      <c r="GH3742" s="84"/>
    </row>
    <row r="3743" spans="187:190" s="2" customFormat="1" ht="18" customHeight="1" x14ac:dyDescent="0.2">
      <c r="GE3743" s="84"/>
      <c r="GF3743" s="84"/>
      <c r="GG3743" s="84"/>
      <c r="GH3743" s="84"/>
    </row>
    <row r="3744" spans="187:190" s="2" customFormat="1" ht="18" customHeight="1" x14ac:dyDescent="0.2">
      <c r="GE3744" s="84"/>
      <c r="GF3744" s="84"/>
      <c r="GG3744" s="84"/>
      <c r="GH3744" s="84"/>
    </row>
    <row r="3745" spans="187:190" s="2" customFormat="1" ht="18" customHeight="1" x14ac:dyDescent="0.2">
      <c r="GE3745" s="84"/>
      <c r="GF3745" s="84"/>
      <c r="GG3745" s="84"/>
      <c r="GH3745" s="84"/>
    </row>
    <row r="3746" spans="187:190" s="2" customFormat="1" ht="18" customHeight="1" x14ac:dyDescent="0.2">
      <c r="GE3746" s="84"/>
      <c r="GF3746" s="84"/>
      <c r="GG3746" s="84"/>
      <c r="GH3746" s="84"/>
    </row>
    <row r="3747" spans="187:190" s="2" customFormat="1" ht="18" customHeight="1" x14ac:dyDescent="0.2">
      <c r="GE3747" s="84"/>
      <c r="GF3747" s="84"/>
      <c r="GG3747" s="84"/>
      <c r="GH3747" s="84"/>
    </row>
    <row r="3748" spans="187:190" s="2" customFormat="1" ht="18" customHeight="1" x14ac:dyDescent="0.2">
      <c r="GE3748" s="84"/>
      <c r="GF3748" s="84"/>
      <c r="GG3748" s="84"/>
      <c r="GH3748" s="84"/>
    </row>
    <row r="3749" spans="187:190" s="2" customFormat="1" ht="18" customHeight="1" x14ac:dyDescent="0.2">
      <c r="GE3749" s="84"/>
      <c r="GF3749" s="84"/>
      <c r="GG3749" s="84"/>
      <c r="GH3749" s="84"/>
    </row>
    <row r="3750" spans="187:190" s="2" customFormat="1" ht="18" customHeight="1" x14ac:dyDescent="0.2">
      <c r="GE3750" s="84"/>
      <c r="GF3750" s="84"/>
      <c r="GG3750" s="84"/>
      <c r="GH3750" s="84"/>
    </row>
    <row r="3751" spans="187:190" s="2" customFormat="1" ht="18" customHeight="1" x14ac:dyDescent="0.2">
      <c r="GE3751" s="84"/>
      <c r="GF3751" s="84"/>
      <c r="GG3751" s="84"/>
      <c r="GH3751" s="84"/>
    </row>
    <row r="3752" spans="187:190" s="2" customFormat="1" ht="18" customHeight="1" x14ac:dyDescent="0.2">
      <c r="GE3752" s="84"/>
      <c r="GF3752" s="84"/>
      <c r="GG3752" s="84"/>
      <c r="GH3752" s="84"/>
    </row>
    <row r="3753" spans="187:190" s="2" customFormat="1" ht="18" customHeight="1" x14ac:dyDescent="0.2">
      <c r="GE3753" s="84"/>
      <c r="GF3753" s="84"/>
      <c r="GG3753" s="84"/>
      <c r="GH3753" s="84"/>
    </row>
    <row r="3754" spans="187:190" s="2" customFormat="1" ht="18" customHeight="1" x14ac:dyDescent="0.2">
      <c r="GE3754" s="84"/>
      <c r="GF3754" s="84"/>
      <c r="GG3754" s="84"/>
      <c r="GH3754" s="84"/>
    </row>
    <row r="3755" spans="187:190" s="2" customFormat="1" ht="18" customHeight="1" x14ac:dyDescent="0.2">
      <c r="GE3755" s="84"/>
      <c r="GF3755" s="84"/>
      <c r="GG3755" s="84"/>
      <c r="GH3755" s="84"/>
    </row>
    <row r="3756" spans="187:190" s="2" customFormat="1" ht="18" customHeight="1" x14ac:dyDescent="0.2">
      <c r="GE3756" s="84"/>
      <c r="GF3756" s="84"/>
      <c r="GG3756" s="84"/>
      <c r="GH3756" s="84"/>
    </row>
    <row r="3757" spans="187:190" s="2" customFormat="1" ht="18" customHeight="1" x14ac:dyDescent="0.2">
      <c r="GE3757" s="84"/>
      <c r="GF3757" s="84"/>
      <c r="GG3757" s="84"/>
      <c r="GH3757" s="84"/>
    </row>
    <row r="3758" spans="187:190" s="2" customFormat="1" ht="18" customHeight="1" x14ac:dyDescent="0.2">
      <c r="GE3758" s="84"/>
      <c r="GF3758" s="84"/>
      <c r="GG3758" s="84"/>
      <c r="GH3758" s="84"/>
    </row>
    <row r="3759" spans="187:190" s="2" customFormat="1" ht="18" customHeight="1" x14ac:dyDescent="0.2">
      <c r="GE3759" s="84"/>
      <c r="GF3759" s="84"/>
      <c r="GG3759" s="84"/>
      <c r="GH3759" s="84"/>
    </row>
    <row r="3760" spans="187:190" s="2" customFormat="1" ht="18" customHeight="1" x14ac:dyDescent="0.2">
      <c r="GE3760" s="84"/>
      <c r="GF3760" s="84"/>
      <c r="GG3760" s="84"/>
      <c r="GH3760" s="84"/>
    </row>
    <row r="3761" spans="187:190" s="2" customFormat="1" ht="18" customHeight="1" x14ac:dyDescent="0.2">
      <c r="GE3761" s="84"/>
      <c r="GF3761" s="84"/>
      <c r="GG3761" s="84"/>
      <c r="GH3761" s="84"/>
    </row>
    <row r="3762" spans="187:190" s="2" customFormat="1" ht="18" customHeight="1" x14ac:dyDescent="0.2">
      <c r="GE3762" s="84"/>
      <c r="GF3762" s="84"/>
      <c r="GG3762" s="84"/>
      <c r="GH3762" s="84"/>
    </row>
    <row r="3763" spans="187:190" s="2" customFormat="1" ht="18" customHeight="1" x14ac:dyDescent="0.2">
      <c r="GE3763" s="84"/>
      <c r="GF3763" s="84"/>
      <c r="GG3763" s="84"/>
      <c r="GH3763" s="84"/>
    </row>
    <row r="3764" spans="187:190" s="2" customFormat="1" ht="18" customHeight="1" x14ac:dyDescent="0.2">
      <c r="GE3764" s="84"/>
      <c r="GF3764" s="84"/>
      <c r="GG3764" s="84"/>
      <c r="GH3764" s="84"/>
    </row>
    <row r="3765" spans="187:190" s="2" customFormat="1" ht="18" customHeight="1" x14ac:dyDescent="0.2">
      <c r="GE3765" s="84"/>
      <c r="GF3765" s="84"/>
      <c r="GG3765" s="84"/>
      <c r="GH3765" s="84"/>
    </row>
    <row r="3766" spans="187:190" s="2" customFormat="1" ht="18" customHeight="1" x14ac:dyDescent="0.2">
      <c r="GE3766" s="84"/>
      <c r="GF3766" s="84"/>
      <c r="GG3766" s="84"/>
      <c r="GH3766" s="84"/>
    </row>
    <row r="3767" spans="187:190" s="2" customFormat="1" ht="18" customHeight="1" x14ac:dyDescent="0.2">
      <c r="GE3767" s="84"/>
      <c r="GF3767" s="84"/>
      <c r="GG3767" s="84"/>
      <c r="GH3767" s="84"/>
    </row>
    <row r="3768" spans="187:190" s="2" customFormat="1" ht="18" customHeight="1" x14ac:dyDescent="0.2">
      <c r="GE3768" s="84"/>
      <c r="GF3768" s="84"/>
      <c r="GG3768" s="84"/>
      <c r="GH3768" s="84"/>
    </row>
    <row r="3769" spans="187:190" s="2" customFormat="1" ht="18" customHeight="1" x14ac:dyDescent="0.2">
      <c r="GE3769" s="84"/>
      <c r="GF3769" s="84"/>
      <c r="GG3769" s="84"/>
      <c r="GH3769" s="84"/>
    </row>
    <row r="3770" spans="187:190" s="2" customFormat="1" ht="18" customHeight="1" x14ac:dyDescent="0.2">
      <c r="GE3770" s="84"/>
      <c r="GF3770" s="84"/>
      <c r="GG3770" s="84"/>
      <c r="GH3770" s="84"/>
    </row>
    <row r="3771" spans="187:190" s="2" customFormat="1" ht="18" customHeight="1" x14ac:dyDescent="0.2">
      <c r="GE3771" s="84"/>
      <c r="GF3771" s="84"/>
      <c r="GG3771" s="84"/>
      <c r="GH3771" s="84"/>
    </row>
    <row r="3772" spans="187:190" s="2" customFormat="1" ht="18" customHeight="1" x14ac:dyDescent="0.2">
      <c r="GE3772" s="84"/>
      <c r="GF3772" s="84"/>
      <c r="GG3772" s="84"/>
      <c r="GH3772" s="84"/>
    </row>
    <row r="3773" spans="187:190" s="2" customFormat="1" ht="18" customHeight="1" x14ac:dyDescent="0.2">
      <c r="GE3773" s="84"/>
      <c r="GF3773" s="84"/>
      <c r="GG3773" s="84"/>
      <c r="GH3773" s="84"/>
    </row>
    <row r="3774" spans="187:190" s="2" customFormat="1" ht="18" customHeight="1" x14ac:dyDescent="0.2">
      <c r="GE3774" s="84"/>
      <c r="GF3774" s="84"/>
      <c r="GG3774" s="84"/>
      <c r="GH3774" s="84"/>
    </row>
    <row r="3775" spans="187:190" s="2" customFormat="1" ht="18" customHeight="1" x14ac:dyDescent="0.2">
      <c r="GE3775" s="84"/>
      <c r="GF3775" s="84"/>
      <c r="GG3775" s="84"/>
      <c r="GH3775" s="84"/>
    </row>
    <row r="3776" spans="187:190" s="2" customFormat="1" ht="18" customHeight="1" x14ac:dyDescent="0.2">
      <c r="GE3776" s="84"/>
      <c r="GF3776" s="84"/>
      <c r="GG3776" s="84"/>
      <c r="GH3776" s="84"/>
    </row>
    <row r="3777" spans="187:190" s="2" customFormat="1" ht="18" customHeight="1" x14ac:dyDescent="0.2">
      <c r="GE3777" s="84"/>
      <c r="GF3777" s="84"/>
      <c r="GG3777" s="84"/>
      <c r="GH3777" s="84"/>
    </row>
    <row r="3778" spans="187:190" s="2" customFormat="1" ht="18" customHeight="1" x14ac:dyDescent="0.2">
      <c r="GE3778" s="84"/>
      <c r="GF3778" s="84"/>
      <c r="GG3778" s="84"/>
      <c r="GH3778" s="84"/>
    </row>
    <row r="3779" spans="187:190" s="2" customFormat="1" ht="18" customHeight="1" x14ac:dyDescent="0.2">
      <c r="GE3779" s="84"/>
      <c r="GF3779" s="84"/>
      <c r="GG3779" s="84"/>
      <c r="GH3779" s="84"/>
    </row>
    <row r="3780" spans="187:190" s="2" customFormat="1" ht="18" customHeight="1" x14ac:dyDescent="0.2">
      <c r="GE3780" s="84"/>
      <c r="GF3780" s="84"/>
      <c r="GG3780" s="84"/>
      <c r="GH3780" s="84"/>
    </row>
    <row r="3781" spans="187:190" s="2" customFormat="1" ht="18" customHeight="1" x14ac:dyDescent="0.2">
      <c r="GE3781" s="84"/>
      <c r="GF3781" s="84"/>
      <c r="GG3781" s="84"/>
      <c r="GH3781" s="84"/>
    </row>
    <row r="3782" spans="187:190" s="2" customFormat="1" ht="18" customHeight="1" x14ac:dyDescent="0.2">
      <c r="GE3782" s="84"/>
      <c r="GF3782" s="84"/>
      <c r="GG3782" s="84"/>
      <c r="GH3782" s="84"/>
    </row>
    <row r="3783" spans="187:190" s="2" customFormat="1" ht="18" customHeight="1" x14ac:dyDescent="0.2">
      <c r="GE3783" s="84"/>
      <c r="GF3783" s="84"/>
      <c r="GG3783" s="84"/>
      <c r="GH3783" s="84"/>
    </row>
    <row r="3784" spans="187:190" s="2" customFormat="1" ht="18" customHeight="1" x14ac:dyDescent="0.2">
      <c r="GE3784" s="84"/>
      <c r="GF3784" s="84"/>
      <c r="GG3784" s="84"/>
      <c r="GH3784" s="84"/>
    </row>
    <row r="3785" spans="187:190" s="2" customFormat="1" ht="18" customHeight="1" x14ac:dyDescent="0.2">
      <c r="GE3785" s="84"/>
      <c r="GF3785" s="84"/>
      <c r="GG3785" s="84"/>
      <c r="GH3785" s="84"/>
    </row>
    <row r="3786" spans="187:190" s="2" customFormat="1" ht="18" customHeight="1" x14ac:dyDescent="0.2">
      <c r="GE3786" s="84"/>
      <c r="GF3786" s="84"/>
      <c r="GG3786" s="84"/>
      <c r="GH3786" s="84"/>
    </row>
    <row r="3787" spans="187:190" s="2" customFormat="1" ht="18" customHeight="1" x14ac:dyDescent="0.2">
      <c r="GE3787" s="84"/>
      <c r="GF3787" s="84"/>
      <c r="GG3787" s="84"/>
      <c r="GH3787" s="84"/>
    </row>
    <row r="3788" spans="187:190" s="2" customFormat="1" ht="18" customHeight="1" x14ac:dyDescent="0.2">
      <c r="GE3788" s="84"/>
      <c r="GF3788" s="84"/>
      <c r="GG3788" s="84"/>
      <c r="GH3788" s="84"/>
    </row>
    <row r="3789" spans="187:190" s="2" customFormat="1" ht="18" customHeight="1" x14ac:dyDescent="0.2">
      <c r="GE3789" s="84"/>
      <c r="GF3789" s="84"/>
      <c r="GG3789" s="84"/>
      <c r="GH3789" s="84"/>
    </row>
    <row r="3790" spans="187:190" s="2" customFormat="1" ht="18" customHeight="1" x14ac:dyDescent="0.2">
      <c r="GE3790" s="84"/>
      <c r="GF3790" s="84"/>
      <c r="GG3790" s="84"/>
      <c r="GH3790" s="84"/>
    </row>
    <row r="3791" spans="187:190" s="2" customFormat="1" ht="18" customHeight="1" x14ac:dyDescent="0.2">
      <c r="GE3791" s="84"/>
      <c r="GF3791" s="84"/>
      <c r="GG3791" s="84"/>
      <c r="GH3791" s="84"/>
    </row>
    <row r="3792" spans="187:190" s="2" customFormat="1" ht="18" customHeight="1" x14ac:dyDescent="0.2">
      <c r="GE3792" s="84"/>
      <c r="GF3792" s="84"/>
      <c r="GG3792" s="84"/>
      <c r="GH3792" s="84"/>
    </row>
    <row r="3793" spans="187:190" s="2" customFormat="1" ht="18" customHeight="1" x14ac:dyDescent="0.2">
      <c r="GE3793" s="84"/>
      <c r="GF3793" s="84"/>
      <c r="GG3793" s="84"/>
      <c r="GH3793" s="84"/>
    </row>
    <row r="3794" spans="187:190" s="2" customFormat="1" ht="18" customHeight="1" x14ac:dyDescent="0.2">
      <c r="GE3794" s="84"/>
      <c r="GF3794" s="84"/>
      <c r="GG3794" s="84"/>
      <c r="GH3794" s="84"/>
    </row>
    <row r="3795" spans="187:190" s="2" customFormat="1" ht="18" customHeight="1" x14ac:dyDescent="0.2">
      <c r="GE3795" s="84"/>
      <c r="GF3795" s="84"/>
      <c r="GG3795" s="84"/>
      <c r="GH3795" s="84"/>
    </row>
    <row r="3796" spans="187:190" s="2" customFormat="1" ht="18" customHeight="1" x14ac:dyDescent="0.2">
      <c r="GE3796" s="84"/>
      <c r="GF3796" s="84"/>
      <c r="GG3796" s="84"/>
      <c r="GH3796" s="84"/>
    </row>
    <row r="3797" spans="187:190" s="2" customFormat="1" ht="18" customHeight="1" x14ac:dyDescent="0.2">
      <c r="GE3797" s="84"/>
      <c r="GF3797" s="84"/>
      <c r="GG3797" s="84"/>
      <c r="GH3797" s="84"/>
    </row>
    <row r="3798" spans="187:190" s="2" customFormat="1" ht="18" customHeight="1" x14ac:dyDescent="0.2">
      <c r="GE3798" s="84"/>
      <c r="GF3798" s="84"/>
      <c r="GG3798" s="84"/>
      <c r="GH3798" s="84"/>
    </row>
    <row r="3799" spans="187:190" s="2" customFormat="1" ht="18" customHeight="1" x14ac:dyDescent="0.2">
      <c r="GE3799" s="84"/>
      <c r="GF3799" s="84"/>
      <c r="GG3799" s="84"/>
      <c r="GH3799" s="84"/>
    </row>
    <row r="3800" spans="187:190" s="2" customFormat="1" ht="18" customHeight="1" x14ac:dyDescent="0.2">
      <c r="GE3800" s="84"/>
      <c r="GF3800" s="84"/>
      <c r="GG3800" s="84"/>
      <c r="GH3800" s="84"/>
    </row>
    <row r="3801" spans="187:190" s="2" customFormat="1" ht="18" customHeight="1" x14ac:dyDescent="0.2">
      <c r="GE3801" s="84"/>
      <c r="GF3801" s="84"/>
      <c r="GG3801" s="84"/>
      <c r="GH3801" s="84"/>
    </row>
    <row r="3802" spans="187:190" s="2" customFormat="1" ht="18" customHeight="1" x14ac:dyDescent="0.2">
      <c r="GE3802" s="84"/>
      <c r="GF3802" s="84"/>
      <c r="GG3802" s="84"/>
      <c r="GH3802" s="84"/>
    </row>
    <row r="3803" spans="187:190" s="2" customFormat="1" ht="18" customHeight="1" x14ac:dyDescent="0.2">
      <c r="GE3803" s="84"/>
      <c r="GF3803" s="84"/>
      <c r="GG3803" s="84"/>
      <c r="GH3803" s="84"/>
    </row>
    <row r="3804" spans="187:190" s="2" customFormat="1" ht="18" customHeight="1" x14ac:dyDescent="0.2">
      <c r="GE3804" s="84"/>
      <c r="GF3804" s="84"/>
      <c r="GG3804" s="84"/>
      <c r="GH3804" s="84"/>
    </row>
    <row r="3805" spans="187:190" s="2" customFormat="1" ht="18" customHeight="1" x14ac:dyDescent="0.2">
      <c r="GE3805" s="84"/>
      <c r="GF3805" s="84"/>
      <c r="GG3805" s="84"/>
      <c r="GH3805" s="84"/>
    </row>
    <row r="3806" spans="187:190" s="2" customFormat="1" ht="18" customHeight="1" x14ac:dyDescent="0.2">
      <c r="GE3806" s="84"/>
      <c r="GF3806" s="84"/>
      <c r="GG3806" s="84"/>
      <c r="GH3806" s="84"/>
    </row>
    <row r="3807" spans="187:190" s="2" customFormat="1" ht="18" customHeight="1" x14ac:dyDescent="0.2">
      <c r="GE3807" s="84"/>
      <c r="GF3807" s="84"/>
      <c r="GG3807" s="84"/>
      <c r="GH3807" s="84"/>
    </row>
    <row r="3808" spans="187:190" s="2" customFormat="1" ht="18" customHeight="1" x14ac:dyDescent="0.2">
      <c r="GE3808" s="84"/>
      <c r="GF3808" s="84"/>
      <c r="GG3808" s="84"/>
      <c r="GH3808" s="84"/>
    </row>
    <row r="3809" spans="187:190" s="2" customFormat="1" ht="18" customHeight="1" x14ac:dyDescent="0.2">
      <c r="GE3809" s="84"/>
      <c r="GF3809" s="84"/>
      <c r="GG3809" s="84"/>
      <c r="GH3809" s="84"/>
    </row>
    <row r="3810" spans="187:190" s="2" customFormat="1" ht="18" customHeight="1" x14ac:dyDescent="0.2">
      <c r="GE3810" s="84"/>
      <c r="GF3810" s="84"/>
      <c r="GG3810" s="84"/>
      <c r="GH3810" s="84"/>
    </row>
    <row r="3811" spans="187:190" s="2" customFormat="1" ht="18" customHeight="1" x14ac:dyDescent="0.2">
      <c r="GE3811" s="84"/>
      <c r="GF3811" s="84"/>
      <c r="GG3811" s="84"/>
      <c r="GH3811" s="84"/>
    </row>
    <row r="3812" spans="187:190" s="2" customFormat="1" ht="18" customHeight="1" x14ac:dyDescent="0.2">
      <c r="GE3812" s="84"/>
      <c r="GF3812" s="84"/>
      <c r="GG3812" s="84"/>
      <c r="GH3812" s="84"/>
    </row>
    <row r="3813" spans="187:190" s="2" customFormat="1" ht="18" customHeight="1" x14ac:dyDescent="0.2">
      <c r="GE3813" s="84"/>
      <c r="GF3813" s="84"/>
      <c r="GG3813" s="84"/>
      <c r="GH3813" s="84"/>
    </row>
    <row r="3814" spans="187:190" s="2" customFormat="1" ht="18" customHeight="1" x14ac:dyDescent="0.2">
      <c r="GE3814" s="84"/>
      <c r="GF3814" s="84"/>
      <c r="GG3814" s="84"/>
      <c r="GH3814" s="84"/>
    </row>
    <row r="3815" spans="187:190" s="2" customFormat="1" ht="18" customHeight="1" x14ac:dyDescent="0.2">
      <c r="GE3815" s="84"/>
      <c r="GF3815" s="84"/>
      <c r="GG3815" s="84"/>
      <c r="GH3815" s="84"/>
    </row>
    <row r="3816" spans="187:190" s="2" customFormat="1" ht="18" customHeight="1" x14ac:dyDescent="0.2">
      <c r="GE3816" s="84"/>
      <c r="GF3816" s="84"/>
      <c r="GG3816" s="84"/>
      <c r="GH3816" s="84"/>
    </row>
    <row r="3817" spans="187:190" s="2" customFormat="1" ht="18" customHeight="1" x14ac:dyDescent="0.2">
      <c r="GE3817" s="84"/>
      <c r="GF3817" s="84"/>
      <c r="GG3817" s="84"/>
      <c r="GH3817" s="84"/>
    </row>
    <row r="3818" spans="187:190" s="2" customFormat="1" ht="18" customHeight="1" x14ac:dyDescent="0.2">
      <c r="GE3818" s="84"/>
      <c r="GF3818" s="84"/>
      <c r="GG3818" s="84"/>
      <c r="GH3818" s="84"/>
    </row>
    <row r="3819" spans="187:190" s="2" customFormat="1" ht="18" customHeight="1" x14ac:dyDescent="0.2">
      <c r="GE3819" s="84"/>
      <c r="GF3819" s="84"/>
      <c r="GG3819" s="84"/>
      <c r="GH3819" s="84"/>
    </row>
    <row r="3820" spans="187:190" s="2" customFormat="1" ht="18" customHeight="1" x14ac:dyDescent="0.2">
      <c r="GE3820" s="84"/>
      <c r="GF3820" s="84"/>
      <c r="GG3820" s="84"/>
      <c r="GH3820" s="84"/>
    </row>
    <row r="3821" spans="187:190" s="2" customFormat="1" ht="18" customHeight="1" x14ac:dyDescent="0.2">
      <c r="GE3821" s="84"/>
      <c r="GF3821" s="84"/>
      <c r="GG3821" s="84"/>
      <c r="GH3821" s="84"/>
    </row>
    <row r="3822" spans="187:190" s="2" customFormat="1" ht="18" customHeight="1" x14ac:dyDescent="0.2">
      <c r="GE3822" s="84"/>
      <c r="GF3822" s="84"/>
      <c r="GG3822" s="84"/>
      <c r="GH3822" s="84"/>
    </row>
    <row r="3823" spans="187:190" s="2" customFormat="1" ht="18" customHeight="1" x14ac:dyDescent="0.2">
      <c r="GE3823" s="84"/>
      <c r="GF3823" s="84"/>
      <c r="GG3823" s="84"/>
      <c r="GH3823" s="84"/>
    </row>
    <row r="3824" spans="187:190" s="2" customFormat="1" ht="18" customHeight="1" x14ac:dyDescent="0.2">
      <c r="GE3824" s="84"/>
      <c r="GF3824" s="84"/>
      <c r="GG3824" s="84"/>
      <c r="GH3824" s="84"/>
    </row>
    <row r="3825" spans="187:190" s="2" customFormat="1" ht="18" customHeight="1" x14ac:dyDescent="0.2">
      <c r="GE3825" s="84"/>
      <c r="GF3825" s="84"/>
      <c r="GG3825" s="84"/>
      <c r="GH3825" s="84"/>
    </row>
    <row r="3826" spans="187:190" s="2" customFormat="1" ht="18" customHeight="1" x14ac:dyDescent="0.2">
      <c r="GE3826" s="84"/>
      <c r="GF3826" s="84"/>
      <c r="GG3826" s="84"/>
      <c r="GH3826" s="84"/>
    </row>
    <row r="3827" spans="187:190" s="2" customFormat="1" ht="18" customHeight="1" x14ac:dyDescent="0.2">
      <c r="GE3827" s="84"/>
      <c r="GF3827" s="84"/>
      <c r="GG3827" s="84"/>
      <c r="GH3827" s="84"/>
    </row>
    <row r="3828" spans="187:190" s="2" customFormat="1" ht="18" customHeight="1" x14ac:dyDescent="0.2">
      <c r="GE3828" s="84"/>
      <c r="GF3828" s="84"/>
      <c r="GG3828" s="84"/>
      <c r="GH3828" s="84"/>
    </row>
    <row r="3829" spans="187:190" s="2" customFormat="1" ht="18" customHeight="1" x14ac:dyDescent="0.2">
      <c r="GE3829" s="84"/>
      <c r="GF3829" s="84"/>
      <c r="GG3829" s="84"/>
      <c r="GH3829" s="84"/>
    </row>
    <row r="3830" spans="187:190" s="2" customFormat="1" ht="18" customHeight="1" x14ac:dyDescent="0.2">
      <c r="GE3830" s="84"/>
      <c r="GF3830" s="84"/>
      <c r="GG3830" s="84"/>
      <c r="GH3830" s="84"/>
    </row>
    <row r="3831" spans="187:190" s="2" customFormat="1" ht="18" customHeight="1" x14ac:dyDescent="0.2">
      <c r="GE3831" s="84"/>
      <c r="GF3831" s="84"/>
      <c r="GG3831" s="84"/>
      <c r="GH3831" s="84"/>
    </row>
    <row r="3832" spans="187:190" s="2" customFormat="1" ht="18" customHeight="1" x14ac:dyDescent="0.2">
      <c r="GE3832" s="84"/>
      <c r="GF3832" s="84"/>
      <c r="GG3832" s="84"/>
      <c r="GH3832" s="84"/>
    </row>
    <row r="3833" spans="187:190" s="2" customFormat="1" ht="18" customHeight="1" x14ac:dyDescent="0.2">
      <c r="GE3833" s="84"/>
      <c r="GF3833" s="84"/>
      <c r="GG3833" s="84"/>
      <c r="GH3833" s="84"/>
    </row>
    <row r="3834" spans="187:190" s="2" customFormat="1" ht="18" customHeight="1" x14ac:dyDescent="0.2">
      <c r="GE3834" s="84"/>
      <c r="GF3834" s="84"/>
      <c r="GG3834" s="84"/>
      <c r="GH3834" s="84"/>
    </row>
    <row r="3835" spans="187:190" s="2" customFormat="1" ht="18" customHeight="1" x14ac:dyDescent="0.2">
      <c r="GE3835" s="84"/>
      <c r="GF3835" s="84"/>
      <c r="GG3835" s="84"/>
      <c r="GH3835" s="84"/>
    </row>
    <row r="3836" spans="187:190" s="2" customFormat="1" ht="18" customHeight="1" x14ac:dyDescent="0.2">
      <c r="GE3836" s="84"/>
      <c r="GF3836" s="84"/>
      <c r="GG3836" s="84"/>
      <c r="GH3836" s="84"/>
    </row>
    <row r="3837" spans="187:190" s="2" customFormat="1" ht="18" customHeight="1" x14ac:dyDescent="0.2">
      <c r="GE3837" s="84"/>
      <c r="GF3837" s="84"/>
      <c r="GG3837" s="84"/>
      <c r="GH3837" s="84"/>
    </row>
    <row r="3838" spans="187:190" s="2" customFormat="1" ht="18" customHeight="1" x14ac:dyDescent="0.2">
      <c r="GE3838" s="84"/>
      <c r="GF3838" s="84"/>
      <c r="GG3838" s="84"/>
      <c r="GH3838" s="84"/>
    </row>
    <row r="3839" spans="187:190" s="2" customFormat="1" ht="18" customHeight="1" x14ac:dyDescent="0.2">
      <c r="GE3839" s="84"/>
      <c r="GF3839" s="84"/>
      <c r="GG3839" s="84"/>
      <c r="GH3839" s="84"/>
    </row>
    <row r="3840" spans="187:190" s="2" customFormat="1" ht="18" customHeight="1" x14ac:dyDescent="0.2">
      <c r="GE3840" s="84"/>
      <c r="GF3840" s="84"/>
      <c r="GG3840" s="84"/>
      <c r="GH3840" s="84"/>
    </row>
    <row r="3841" spans="187:190" s="2" customFormat="1" ht="18" customHeight="1" x14ac:dyDescent="0.2">
      <c r="GE3841" s="84"/>
      <c r="GF3841" s="84"/>
      <c r="GG3841" s="84"/>
      <c r="GH3841" s="84"/>
    </row>
    <row r="3842" spans="187:190" s="2" customFormat="1" ht="18" customHeight="1" x14ac:dyDescent="0.2">
      <c r="GE3842" s="84"/>
      <c r="GF3842" s="84"/>
      <c r="GG3842" s="84"/>
      <c r="GH3842" s="84"/>
    </row>
    <row r="3843" spans="187:190" s="2" customFormat="1" ht="18" customHeight="1" x14ac:dyDescent="0.2">
      <c r="GE3843" s="84"/>
      <c r="GF3843" s="84"/>
      <c r="GG3843" s="84"/>
      <c r="GH3843" s="84"/>
    </row>
    <row r="3844" spans="187:190" s="2" customFormat="1" ht="18" customHeight="1" x14ac:dyDescent="0.2">
      <c r="GE3844" s="84"/>
      <c r="GF3844" s="84"/>
      <c r="GG3844" s="84"/>
      <c r="GH3844" s="84"/>
    </row>
    <row r="3845" spans="187:190" s="2" customFormat="1" ht="18" customHeight="1" x14ac:dyDescent="0.2">
      <c r="GE3845" s="84"/>
      <c r="GF3845" s="84"/>
      <c r="GG3845" s="84"/>
      <c r="GH3845" s="84"/>
    </row>
    <row r="3846" spans="187:190" s="2" customFormat="1" ht="18" customHeight="1" x14ac:dyDescent="0.2">
      <c r="GE3846" s="84"/>
      <c r="GF3846" s="84"/>
      <c r="GG3846" s="84"/>
      <c r="GH3846" s="84"/>
    </row>
    <row r="3847" spans="187:190" s="2" customFormat="1" ht="18" customHeight="1" x14ac:dyDescent="0.2">
      <c r="GE3847" s="84"/>
      <c r="GF3847" s="84"/>
      <c r="GG3847" s="84"/>
      <c r="GH3847" s="84"/>
    </row>
    <row r="3848" spans="187:190" s="2" customFormat="1" ht="18" customHeight="1" x14ac:dyDescent="0.2">
      <c r="GE3848" s="84"/>
      <c r="GF3848" s="84"/>
      <c r="GG3848" s="84"/>
      <c r="GH3848" s="84"/>
    </row>
    <row r="3849" spans="187:190" s="2" customFormat="1" ht="18" customHeight="1" x14ac:dyDescent="0.2">
      <c r="GE3849" s="84"/>
      <c r="GF3849" s="84"/>
      <c r="GG3849" s="84"/>
      <c r="GH3849" s="84"/>
    </row>
    <row r="3850" spans="187:190" s="2" customFormat="1" ht="18" customHeight="1" x14ac:dyDescent="0.2">
      <c r="GE3850" s="84"/>
      <c r="GF3850" s="84"/>
      <c r="GG3850" s="84"/>
      <c r="GH3850" s="84"/>
    </row>
    <row r="3851" spans="187:190" s="2" customFormat="1" ht="18" customHeight="1" x14ac:dyDescent="0.2">
      <c r="GE3851" s="84"/>
      <c r="GF3851" s="84"/>
      <c r="GG3851" s="84"/>
      <c r="GH3851" s="84"/>
    </row>
    <row r="3852" spans="187:190" s="2" customFormat="1" ht="18" customHeight="1" x14ac:dyDescent="0.2">
      <c r="GE3852" s="84"/>
      <c r="GF3852" s="84"/>
      <c r="GG3852" s="84"/>
      <c r="GH3852" s="84"/>
    </row>
    <row r="3853" spans="187:190" s="2" customFormat="1" ht="18" customHeight="1" x14ac:dyDescent="0.2">
      <c r="GE3853" s="84"/>
      <c r="GF3853" s="84"/>
      <c r="GG3853" s="84"/>
      <c r="GH3853" s="84"/>
    </row>
    <row r="3854" spans="187:190" s="2" customFormat="1" ht="18" customHeight="1" x14ac:dyDescent="0.2">
      <c r="GE3854" s="84"/>
      <c r="GF3854" s="84"/>
      <c r="GG3854" s="84"/>
      <c r="GH3854" s="84"/>
    </row>
    <row r="3855" spans="187:190" s="2" customFormat="1" ht="18" customHeight="1" x14ac:dyDescent="0.2">
      <c r="GE3855" s="84"/>
      <c r="GF3855" s="84"/>
      <c r="GG3855" s="84"/>
      <c r="GH3855" s="84"/>
    </row>
    <row r="3856" spans="187:190" s="2" customFormat="1" ht="18" customHeight="1" x14ac:dyDescent="0.2">
      <c r="GE3856" s="84"/>
      <c r="GF3856" s="84"/>
      <c r="GG3856" s="84"/>
      <c r="GH3856" s="84"/>
    </row>
    <row r="3857" spans="187:190" s="2" customFormat="1" ht="18" customHeight="1" x14ac:dyDescent="0.2">
      <c r="GE3857" s="84"/>
      <c r="GF3857" s="84"/>
      <c r="GG3857" s="84"/>
      <c r="GH3857" s="84"/>
    </row>
    <row r="3858" spans="187:190" s="2" customFormat="1" ht="18" customHeight="1" x14ac:dyDescent="0.2">
      <c r="GE3858" s="84"/>
      <c r="GF3858" s="84"/>
      <c r="GG3858" s="84"/>
      <c r="GH3858" s="84"/>
    </row>
    <row r="3859" spans="187:190" s="2" customFormat="1" ht="18" customHeight="1" x14ac:dyDescent="0.2">
      <c r="GE3859" s="84"/>
      <c r="GF3859" s="84"/>
      <c r="GG3859" s="84"/>
      <c r="GH3859" s="84"/>
    </row>
    <row r="3860" spans="187:190" s="2" customFormat="1" ht="18" customHeight="1" x14ac:dyDescent="0.2">
      <c r="GE3860" s="84"/>
      <c r="GF3860" s="84"/>
      <c r="GG3860" s="84"/>
      <c r="GH3860" s="84"/>
    </row>
    <row r="3861" spans="187:190" s="2" customFormat="1" ht="18" customHeight="1" x14ac:dyDescent="0.2">
      <c r="GE3861" s="84"/>
      <c r="GF3861" s="84"/>
      <c r="GG3861" s="84"/>
      <c r="GH3861" s="84"/>
    </row>
    <row r="3862" spans="187:190" s="2" customFormat="1" ht="18" customHeight="1" x14ac:dyDescent="0.2">
      <c r="GE3862" s="84"/>
      <c r="GF3862" s="84"/>
      <c r="GG3862" s="84"/>
      <c r="GH3862" s="84"/>
    </row>
    <row r="3863" spans="187:190" s="2" customFormat="1" ht="18" customHeight="1" x14ac:dyDescent="0.2">
      <c r="GE3863" s="84"/>
      <c r="GF3863" s="84"/>
      <c r="GG3863" s="84"/>
      <c r="GH3863" s="84"/>
    </row>
    <row r="3864" spans="187:190" s="2" customFormat="1" ht="18" customHeight="1" x14ac:dyDescent="0.2">
      <c r="GE3864" s="84"/>
      <c r="GF3864" s="84"/>
      <c r="GG3864" s="84"/>
      <c r="GH3864" s="84"/>
    </row>
    <row r="3865" spans="187:190" s="2" customFormat="1" ht="18" customHeight="1" x14ac:dyDescent="0.2">
      <c r="GE3865" s="84"/>
      <c r="GF3865" s="84"/>
      <c r="GG3865" s="84"/>
      <c r="GH3865" s="84"/>
    </row>
    <row r="3866" spans="187:190" s="2" customFormat="1" ht="18" customHeight="1" x14ac:dyDescent="0.2">
      <c r="GE3866" s="84"/>
      <c r="GF3866" s="84"/>
      <c r="GG3866" s="84"/>
      <c r="GH3866" s="84"/>
    </row>
    <row r="3867" spans="187:190" s="2" customFormat="1" ht="18" customHeight="1" x14ac:dyDescent="0.2">
      <c r="GE3867" s="84"/>
      <c r="GF3867" s="84"/>
      <c r="GG3867" s="84"/>
      <c r="GH3867" s="84"/>
    </row>
    <row r="3868" spans="187:190" s="2" customFormat="1" ht="18" customHeight="1" x14ac:dyDescent="0.2">
      <c r="GE3868" s="84"/>
      <c r="GF3868" s="84"/>
      <c r="GG3868" s="84"/>
      <c r="GH3868" s="84"/>
    </row>
    <row r="3869" spans="187:190" s="2" customFormat="1" ht="18" customHeight="1" x14ac:dyDescent="0.2">
      <c r="GE3869" s="84"/>
      <c r="GF3869" s="84"/>
      <c r="GG3869" s="84"/>
      <c r="GH3869" s="84"/>
    </row>
    <row r="3870" spans="187:190" s="2" customFormat="1" ht="18" customHeight="1" x14ac:dyDescent="0.2">
      <c r="GE3870" s="84"/>
      <c r="GF3870" s="84"/>
      <c r="GG3870" s="84"/>
      <c r="GH3870" s="84"/>
    </row>
    <row r="3871" spans="187:190" s="2" customFormat="1" ht="18" customHeight="1" x14ac:dyDescent="0.2">
      <c r="GE3871" s="84"/>
      <c r="GF3871" s="84"/>
      <c r="GG3871" s="84"/>
      <c r="GH3871" s="84"/>
    </row>
    <row r="3872" spans="187:190" s="2" customFormat="1" ht="18" customHeight="1" x14ac:dyDescent="0.2">
      <c r="GE3872" s="84"/>
      <c r="GF3872" s="84"/>
      <c r="GG3872" s="84"/>
      <c r="GH3872" s="84"/>
    </row>
    <row r="3873" spans="187:190" s="2" customFormat="1" ht="18" customHeight="1" x14ac:dyDescent="0.2">
      <c r="GE3873" s="84"/>
      <c r="GF3873" s="84"/>
      <c r="GG3873" s="84"/>
      <c r="GH3873" s="84"/>
    </row>
    <row r="3874" spans="187:190" s="2" customFormat="1" ht="18" customHeight="1" x14ac:dyDescent="0.2">
      <c r="GE3874" s="84"/>
      <c r="GF3874" s="84"/>
      <c r="GG3874" s="84"/>
      <c r="GH3874" s="84"/>
    </row>
    <row r="3875" spans="187:190" s="2" customFormat="1" ht="18" customHeight="1" x14ac:dyDescent="0.2">
      <c r="GE3875" s="84"/>
      <c r="GF3875" s="84"/>
      <c r="GG3875" s="84"/>
      <c r="GH3875" s="84"/>
    </row>
    <row r="3876" spans="187:190" s="2" customFormat="1" ht="18" customHeight="1" x14ac:dyDescent="0.2">
      <c r="GE3876" s="84"/>
      <c r="GF3876" s="84"/>
      <c r="GG3876" s="84"/>
      <c r="GH3876" s="84"/>
    </row>
    <row r="3877" spans="187:190" s="2" customFormat="1" ht="18" customHeight="1" x14ac:dyDescent="0.2">
      <c r="GE3877" s="84"/>
      <c r="GF3877" s="84"/>
      <c r="GG3877" s="84"/>
      <c r="GH3877" s="84"/>
    </row>
    <row r="3878" spans="187:190" s="2" customFormat="1" ht="18" customHeight="1" x14ac:dyDescent="0.2">
      <c r="GE3878" s="84"/>
      <c r="GF3878" s="84"/>
      <c r="GG3878" s="84"/>
      <c r="GH3878" s="84"/>
    </row>
    <row r="3879" spans="187:190" s="2" customFormat="1" ht="18" customHeight="1" x14ac:dyDescent="0.2">
      <c r="GE3879" s="84"/>
      <c r="GF3879" s="84"/>
      <c r="GG3879" s="84"/>
      <c r="GH3879" s="84"/>
    </row>
    <row r="3880" spans="187:190" s="2" customFormat="1" ht="18" customHeight="1" x14ac:dyDescent="0.2">
      <c r="GE3880" s="84"/>
      <c r="GF3880" s="84"/>
      <c r="GG3880" s="84"/>
      <c r="GH3880" s="84"/>
    </row>
    <row r="3881" spans="187:190" s="2" customFormat="1" ht="18" customHeight="1" x14ac:dyDescent="0.2">
      <c r="GE3881" s="84"/>
      <c r="GF3881" s="84"/>
      <c r="GG3881" s="84"/>
      <c r="GH3881" s="84"/>
    </row>
    <row r="3882" spans="187:190" s="2" customFormat="1" ht="18" customHeight="1" x14ac:dyDescent="0.2">
      <c r="GE3882" s="84"/>
      <c r="GF3882" s="84"/>
      <c r="GG3882" s="84"/>
      <c r="GH3882" s="84"/>
    </row>
    <row r="3883" spans="187:190" s="2" customFormat="1" ht="18" customHeight="1" x14ac:dyDescent="0.2">
      <c r="GE3883" s="84"/>
      <c r="GF3883" s="84"/>
      <c r="GG3883" s="84"/>
      <c r="GH3883" s="84"/>
    </row>
    <row r="3884" spans="187:190" s="2" customFormat="1" ht="18" customHeight="1" x14ac:dyDescent="0.2">
      <c r="GE3884" s="84"/>
      <c r="GF3884" s="84"/>
      <c r="GG3884" s="84"/>
      <c r="GH3884" s="84"/>
    </row>
    <row r="3885" spans="187:190" s="2" customFormat="1" ht="18" customHeight="1" x14ac:dyDescent="0.2">
      <c r="GE3885" s="84"/>
      <c r="GF3885" s="84"/>
      <c r="GG3885" s="84"/>
      <c r="GH3885" s="84"/>
    </row>
    <row r="3886" spans="187:190" s="2" customFormat="1" ht="18" customHeight="1" x14ac:dyDescent="0.2">
      <c r="GE3886" s="84"/>
      <c r="GF3886" s="84"/>
      <c r="GG3886" s="84"/>
      <c r="GH3886" s="84"/>
    </row>
    <row r="3887" spans="187:190" s="2" customFormat="1" ht="18" customHeight="1" x14ac:dyDescent="0.2">
      <c r="GE3887" s="84"/>
      <c r="GF3887" s="84"/>
      <c r="GG3887" s="84"/>
      <c r="GH3887" s="84"/>
    </row>
    <row r="3888" spans="187:190" s="2" customFormat="1" ht="18" customHeight="1" x14ac:dyDescent="0.2">
      <c r="GE3888" s="84"/>
      <c r="GF3888" s="84"/>
      <c r="GG3888" s="84"/>
      <c r="GH3888" s="84"/>
    </row>
    <row r="3889" spans="187:190" s="2" customFormat="1" ht="18" customHeight="1" x14ac:dyDescent="0.2">
      <c r="GE3889" s="84"/>
      <c r="GF3889" s="84"/>
      <c r="GG3889" s="84"/>
      <c r="GH3889" s="84"/>
    </row>
    <row r="3890" spans="187:190" s="2" customFormat="1" ht="18" customHeight="1" x14ac:dyDescent="0.2">
      <c r="GE3890" s="84"/>
      <c r="GF3890" s="84"/>
      <c r="GG3890" s="84"/>
      <c r="GH3890" s="84"/>
    </row>
    <row r="3891" spans="187:190" s="2" customFormat="1" ht="18" customHeight="1" x14ac:dyDescent="0.2">
      <c r="GE3891" s="84"/>
      <c r="GF3891" s="84"/>
      <c r="GG3891" s="84"/>
      <c r="GH3891" s="84"/>
    </row>
    <row r="3892" spans="187:190" s="2" customFormat="1" ht="18" customHeight="1" x14ac:dyDescent="0.2">
      <c r="GE3892" s="84"/>
      <c r="GF3892" s="84"/>
      <c r="GG3892" s="84"/>
      <c r="GH3892" s="84"/>
    </row>
    <row r="3893" spans="187:190" s="2" customFormat="1" ht="18" customHeight="1" x14ac:dyDescent="0.2">
      <c r="GE3893" s="84"/>
      <c r="GF3893" s="84"/>
      <c r="GG3893" s="84"/>
      <c r="GH3893" s="84"/>
    </row>
    <row r="3894" spans="187:190" s="2" customFormat="1" ht="18" customHeight="1" x14ac:dyDescent="0.2">
      <c r="GE3894" s="84"/>
      <c r="GF3894" s="84"/>
      <c r="GG3894" s="84"/>
      <c r="GH3894" s="84"/>
    </row>
    <row r="3895" spans="187:190" s="2" customFormat="1" ht="18" customHeight="1" x14ac:dyDescent="0.2">
      <c r="GE3895" s="84"/>
      <c r="GF3895" s="84"/>
      <c r="GG3895" s="84"/>
      <c r="GH3895" s="84"/>
    </row>
    <row r="3896" spans="187:190" s="2" customFormat="1" ht="18" customHeight="1" x14ac:dyDescent="0.2">
      <c r="GE3896" s="84"/>
      <c r="GF3896" s="84"/>
      <c r="GG3896" s="84"/>
      <c r="GH3896" s="84"/>
    </row>
    <row r="3897" spans="187:190" s="2" customFormat="1" ht="18" customHeight="1" x14ac:dyDescent="0.2">
      <c r="GE3897" s="84"/>
      <c r="GF3897" s="84"/>
      <c r="GG3897" s="84"/>
      <c r="GH3897" s="84"/>
    </row>
    <row r="3898" spans="187:190" s="2" customFormat="1" ht="18" customHeight="1" x14ac:dyDescent="0.2">
      <c r="GE3898" s="84"/>
      <c r="GF3898" s="84"/>
      <c r="GG3898" s="84"/>
      <c r="GH3898" s="84"/>
    </row>
    <row r="3899" spans="187:190" s="2" customFormat="1" ht="18" customHeight="1" x14ac:dyDescent="0.2">
      <c r="GE3899" s="84"/>
      <c r="GF3899" s="84"/>
      <c r="GG3899" s="84"/>
      <c r="GH3899" s="84"/>
    </row>
    <row r="3900" spans="187:190" s="2" customFormat="1" ht="18" customHeight="1" x14ac:dyDescent="0.2">
      <c r="GE3900" s="84"/>
      <c r="GF3900" s="84"/>
      <c r="GG3900" s="84"/>
      <c r="GH3900" s="84"/>
    </row>
    <row r="3901" spans="187:190" s="2" customFormat="1" ht="18" customHeight="1" x14ac:dyDescent="0.2">
      <c r="GE3901" s="84"/>
      <c r="GF3901" s="84"/>
      <c r="GG3901" s="84"/>
      <c r="GH3901" s="84"/>
    </row>
    <row r="3902" spans="187:190" s="2" customFormat="1" ht="18" customHeight="1" x14ac:dyDescent="0.2">
      <c r="GE3902" s="84"/>
      <c r="GF3902" s="84"/>
      <c r="GG3902" s="84"/>
      <c r="GH3902" s="84"/>
    </row>
    <row r="3903" spans="187:190" s="2" customFormat="1" ht="18" customHeight="1" x14ac:dyDescent="0.2">
      <c r="GE3903" s="84"/>
      <c r="GF3903" s="84"/>
      <c r="GG3903" s="84"/>
      <c r="GH3903" s="84"/>
    </row>
    <row r="3904" spans="187:190" s="2" customFormat="1" ht="18" customHeight="1" x14ac:dyDescent="0.2">
      <c r="GE3904" s="84"/>
      <c r="GF3904" s="84"/>
      <c r="GG3904" s="84"/>
      <c r="GH3904" s="84"/>
    </row>
    <row r="3905" spans="187:190" s="2" customFormat="1" ht="18" customHeight="1" x14ac:dyDescent="0.2">
      <c r="GE3905" s="84"/>
      <c r="GF3905" s="84"/>
      <c r="GG3905" s="84"/>
      <c r="GH3905" s="84"/>
    </row>
    <row r="3906" spans="187:190" s="2" customFormat="1" ht="18" customHeight="1" x14ac:dyDescent="0.2">
      <c r="GE3906" s="84"/>
      <c r="GF3906" s="84"/>
      <c r="GG3906" s="84"/>
      <c r="GH3906" s="84"/>
    </row>
    <row r="3907" spans="187:190" s="2" customFormat="1" ht="18" customHeight="1" x14ac:dyDescent="0.2">
      <c r="GE3907" s="84"/>
      <c r="GF3907" s="84"/>
      <c r="GG3907" s="84"/>
      <c r="GH3907" s="84"/>
    </row>
    <row r="3908" spans="187:190" s="2" customFormat="1" ht="18" customHeight="1" x14ac:dyDescent="0.2">
      <c r="GE3908" s="84"/>
      <c r="GF3908" s="84"/>
      <c r="GG3908" s="84"/>
      <c r="GH3908" s="84"/>
    </row>
    <row r="3909" spans="187:190" s="2" customFormat="1" ht="18" customHeight="1" x14ac:dyDescent="0.2">
      <c r="GE3909" s="84"/>
      <c r="GF3909" s="84"/>
      <c r="GG3909" s="84"/>
      <c r="GH3909" s="84"/>
    </row>
    <row r="3910" spans="187:190" s="2" customFormat="1" ht="18" customHeight="1" x14ac:dyDescent="0.2">
      <c r="GE3910" s="84"/>
      <c r="GF3910" s="84"/>
      <c r="GG3910" s="84"/>
      <c r="GH3910" s="84"/>
    </row>
    <row r="3911" spans="187:190" s="2" customFormat="1" ht="18" customHeight="1" x14ac:dyDescent="0.2">
      <c r="GE3911" s="84"/>
      <c r="GF3911" s="84"/>
      <c r="GG3911" s="84"/>
      <c r="GH3911" s="84"/>
    </row>
    <row r="3912" spans="187:190" s="2" customFormat="1" ht="18" customHeight="1" x14ac:dyDescent="0.2">
      <c r="GE3912" s="84"/>
      <c r="GF3912" s="84"/>
      <c r="GG3912" s="84"/>
      <c r="GH3912" s="84"/>
    </row>
    <row r="3913" spans="187:190" s="2" customFormat="1" ht="18" customHeight="1" x14ac:dyDescent="0.2">
      <c r="GE3913" s="84"/>
      <c r="GF3913" s="84"/>
      <c r="GG3913" s="84"/>
      <c r="GH3913" s="84"/>
    </row>
    <row r="3914" spans="187:190" s="2" customFormat="1" ht="18" customHeight="1" x14ac:dyDescent="0.2">
      <c r="GE3914" s="84"/>
      <c r="GF3914" s="84"/>
      <c r="GG3914" s="84"/>
      <c r="GH3914" s="84"/>
    </row>
    <row r="3915" spans="187:190" s="2" customFormat="1" ht="18" customHeight="1" x14ac:dyDescent="0.2">
      <c r="GE3915" s="84"/>
      <c r="GF3915" s="84"/>
      <c r="GG3915" s="84"/>
      <c r="GH3915" s="84"/>
    </row>
    <row r="3916" spans="187:190" s="2" customFormat="1" ht="18" customHeight="1" x14ac:dyDescent="0.2">
      <c r="GE3916" s="84"/>
      <c r="GF3916" s="84"/>
      <c r="GG3916" s="84"/>
      <c r="GH3916" s="84"/>
    </row>
    <row r="3917" spans="187:190" s="2" customFormat="1" ht="18" customHeight="1" x14ac:dyDescent="0.2">
      <c r="GE3917" s="84"/>
      <c r="GF3917" s="84"/>
      <c r="GG3917" s="84"/>
      <c r="GH3917" s="84"/>
    </row>
    <row r="3918" spans="187:190" s="2" customFormat="1" ht="18" customHeight="1" x14ac:dyDescent="0.2">
      <c r="GE3918" s="84"/>
      <c r="GF3918" s="84"/>
      <c r="GG3918" s="84"/>
      <c r="GH3918" s="84"/>
    </row>
    <row r="3919" spans="187:190" s="2" customFormat="1" ht="18" customHeight="1" x14ac:dyDescent="0.2">
      <c r="GE3919" s="84"/>
      <c r="GF3919" s="84"/>
      <c r="GG3919" s="84"/>
      <c r="GH3919" s="84"/>
    </row>
    <row r="3920" spans="187:190" s="2" customFormat="1" ht="18" customHeight="1" x14ac:dyDescent="0.2">
      <c r="GE3920" s="84"/>
      <c r="GF3920" s="84"/>
      <c r="GG3920" s="84"/>
      <c r="GH3920" s="84"/>
    </row>
    <row r="3921" spans="187:190" s="2" customFormat="1" ht="18" customHeight="1" x14ac:dyDescent="0.2">
      <c r="GE3921" s="84"/>
      <c r="GF3921" s="84"/>
      <c r="GG3921" s="84"/>
      <c r="GH3921" s="84"/>
    </row>
    <row r="3922" spans="187:190" s="2" customFormat="1" ht="18" customHeight="1" x14ac:dyDescent="0.2">
      <c r="GE3922" s="84"/>
      <c r="GF3922" s="84"/>
      <c r="GG3922" s="84"/>
      <c r="GH3922" s="84"/>
    </row>
    <row r="3923" spans="187:190" s="2" customFormat="1" ht="18" customHeight="1" x14ac:dyDescent="0.2">
      <c r="GE3923" s="84"/>
      <c r="GF3923" s="84"/>
      <c r="GG3923" s="84"/>
      <c r="GH3923" s="84"/>
    </row>
    <row r="3924" spans="187:190" s="2" customFormat="1" ht="18" customHeight="1" x14ac:dyDescent="0.2">
      <c r="GE3924" s="84"/>
      <c r="GF3924" s="84"/>
      <c r="GG3924" s="84"/>
      <c r="GH3924" s="84"/>
    </row>
    <row r="3925" spans="187:190" s="2" customFormat="1" ht="18" customHeight="1" x14ac:dyDescent="0.2">
      <c r="GE3925" s="84"/>
      <c r="GF3925" s="84"/>
      <c r="GG3925" s="84"/>
      <c r="GH3925" s="84"/>
    </row>
    <row r="3926" spans="187:190" s="2" customFormat="1" ht="18" customHeight="1" x14ac:dyDescent="0.2">
      <c r="GE3926" s="84"/>
      <c r="GF3926" s="84"/>
      <c r="GG3926" s="84"/>
      <c r="GH3926" s="84"/>
    </row>
    <row r="3927" spans="187:190" s="2" customFormat="1" ht="18" customHeight="1" x14ac:dyDescent="0.2">
      <c r="GE3927" s="84"/>
      <c r="GF3927" s="84"/>
      <c r="GG3927" s="84"/>
      <c r="GH3927" s="84"/>
    </row>
    <row r="3928" spans="187:190" s="2" customFormat="1" ht="18" customHeight="1" x14ac:dyDescent="0.2">
      <c r="GE3928" s="84"/>
      <c r="GF3928" s="84"/>
      <c r="GG3928" s="84"/>
      <c r="GH3928" s="84"/>
    </row>
    <row r="3929" spans="187:190" s="2" customFormat="1" ht="18" customHeight="1" x14ac:dyDescent="0.2">
      <c r="GE3929" s="84"/>
      <c r="GF3929" s="84"/>
      <c r="GG3929" s="84"/>
      <c r="GH3929" s="84"/>
    </row>
    <row r="3930" spans="187:190" s="2" customFormat="1" ht="18" customHeight="1" x14ac:dyDescent="0.2">
      <c r="GE3930" s="84"/>
      <c r="GF3930" s="84"/>
      <c r="GG3930" s="84"/>
      <c r="GH3930" s="84"/>
    </row>
    <row r="3931" spans="187:190" s="2" customFormat="1" ht="18" customHeight="1" x14ac:dyDescent="0.2">
      <c r="GE3931" s="84"/>
      <c r="GF3931" s="84"/>
      <c r="GG3931" s="84"/>
      <c r="GH3931" s="84"/>
    </row>
    <row r="3932" spans="187:190" s="2" customFormat="1" ht="18" customHeight="1" x14ac:dyDescent="0.2">
      <c r="GE3932" s="84"/>
      <c r="GF3932" s="84"/>
      <c r="GG3932" s="84"/>
      <c r="GH3932" s="84"/>
    </row>
    <row r="3933" spans="187:190" s="2" customFormat="1" ht="18" customHeight="1" x14ac:dyDescent="0.2">
      <c r="GE3933" s="84"/>
      <c r="GF3933" s="84"/>
      <c r="GG3933" s="84"/>
      <c r="GH3933" s="84"/>
    </row>
    <row r="3934" spans="187:190" s="2" customFormat="1" ht="18" customHeight="1" x14ac:dyDescent="0.2">
      <c r="GE3934" s="84"/>
      <c r="GF3934" s="84"/>
      <c r="GG3934" s="84"/>
      <c r="GH3934" s="84"/>
    </row>
    <row r="3935" spans="187:190" s="2" customFormat="1" ht="18" customHeight="1" x14ac:dyDescent="0.2">
      <c r="GE3935" s="84"/>
      <c r="GF3935" s="84"/>
      <c r="GG3935" s="84"/>
      <c r="GH3935" s="84"/>
    </row>
    <row r="3936" spans="187:190" s="2" customFormat="1" ht="18" customHeight="1" x14ac:dyDescent="0.2">
      <c r="GE3936" s="84"/>
      <c r="GF3936" s="84"/>
      <c r="GG3936" s="84"/>
      <c r="GH3936" s="84"/>
    </row>
    <row r="3937" spans="187:190" s="2" customFormat="1" ht="18" customHeight="1" x14ac:dyDescent="0.2">
      <c r="GE3937" s="84"/>
      <c r="GF3937" s="84"/>
      <c r="GG3937" s="84"/>
      <c r="GH3937" s="84"/>
    </row>
    <row r="3938" spans="187:190" s="2" customFormat="1" ht="18" customHeight="1" x14ac:dyDescent="0.2">
      <c r="GE3938" s="84"/>
      <c r="GF3938" s="84"/>
      <c r="GG3938" s="84"/>
      <c r="GH3938" s="84"/>
    </row>
    <row r="3939" spans="187:190" s="2" customFormat="1" ht="18" customHeight="1" x14ac:dyDescent="0.2">
      <c r="GE3939" s="84"/>
      <c r="GF3939" s="84"/>
      <c r="GG3939" s="84"/>
      <c r="GH3939" s="84"/>
    </row>
    <row r="3940" spans="187:190" s="2" customFormat="1" ht="18" customHeight="1" x14ac:dyDescent="0.2">
      <c r="GE3940" s="84"/>
      <c r="GF3940" s="84"/>
      <c r="GG3940" s="84"/>
      <c r="GH3940" s="84"/>
    </row>
    <row r="3941" spans="187:190" s="2" customFormat="1" ht="18" customHeight="1" x14ac:dyDescent="0.2">
      <c r="GE3941" s="84"/>
      <c r="GF3941" s="84"/>
      <c r="GG3941" s="84"/>
      <c r="GH3941" s="84"/>
    </row>
    <row r="3942" spans="187:190" s="2" customFormat="1" ht="18" customHeight="1" x14ac:dyDescent="0.2">
      <c r="GE3942" s="84"/>
      <c r="GF3942" s="84"/>
      <c r="GG3942" s="84"/>
      <c r="GH3942" s="84"/>
    </row>
    <row r="3943" spans="187:190" s="2" customFormat="1" ht="18" customHeight="1" x14ac:dyDescent="0.2">
      <c r="GE3943" s="84"/>
      <c r="GF3943" s="84"/>
      <c r="GG3943" s="84"/>
      <c r="GH3943" s="84"/>
    </row>
    <row r="3944" spans="187:190" s="2" customFormat="1" ht="18" customHeight="1" x14ac:dyDescent="0.2">
      <c r="GE3944" s="84"/>
      <c r="GF3944" s="84"/>
      <c r="GG3944" s="84"/>
      <c r="GH3944" s="84"/>
    </row>
    <row r="3945" spans="187:190" s="2" customFormat="1" ht="18" customHeight="1" x14ac:dyDescent="0.2">
      <c r="GE3945" s="84"/>
      <c r="GF3945" s="84"/>
      <c r="GG3945" s="84"/>
      <c r="GH3945" s="84"/>
    </row>
    <row r="3946" spans="187:190" s="2" customFormat="1" ht="18" customHeight="1" x14ac:dyDescent="0.2">
      <c r="GE3946" s="84"/>
      <c r="GF3946" s="84"/>
      <c r="GG3946" s="84"/>
      <c r="GH3946" s="84"/>
    </row>
    <row r="3947" spans="187:190" s="2" customFormat="1" ht="18" customHeight="1" x14ac:dyDescent="0.2">
      <c r="GE3947" s="84"/>
      <c r="GF3947" s="84"/>
      <c r="GG3947" s="84"/>
      <c r="GH3947" s="84"/>
    </row>
    <row r="3948" spans="187:190" s="2" customFormat="1" ht="18" customHeight="1" x14ac:dyDescent="0.2">
      <c r="GE3948" s="84"/>
      <c r="GF3948" s="84"/>
      <c r="GG3948" s="84"/>
      <c r="GH3948" s="84"/>
    </row>
    <row r="3949" spans="187:190" s="2" customFormat="1" ht="18" customHeight="1" x14ac:dyDescent="0.2">
      <c r="GE3949" s="84"/>
      <c r="GF3949" s="84"/>
      <c r="GG3949" s="84"/>
      <c r="GH3949" s="84"/>
    </row>
    <row r="3950" spans="187:190" s="2" customFormat="1" ht="18" customHeight="1" x14ac:dyDescent="0.2">
      <c r="GE3950" s="84"/>
      <c r="GF3950" s="84"/>
      <c r="GG3950" s="84"/>
      <c r="GH3950" s="84"/>
    </row>
    <row r="3951" spans="187:190" s="2" customFormat="1" ht="18" customHeight="1" x14ac:dyDescent="0.2">
      <c r="GE3951" s="84"/>
      <c r="GF3951" s="84"/>
      <c r="GG3951" s="84"/>
      <c r="GH3951" s="84"/>
    </row>
    <row r="3952" spans="187:190" s="2" customFormat="1" ht="18" customHeight="1" x14ac:dyDescent="0.2">
      <c r="GE3952" s="84"/>
      <c r="GF3952" s="84"/>
      <c r="GG3952" s="84"/>
      <c r="GH3952" s="84"/>
    </row>
    <row r="3953" spans="187:190" s="2" customFormat="1" ht="18" customHeight="1" x14ac:dyDescent="0.2">
      <c r="GE3953" s="84"/>
      <c r="GF3953" s="84"/>
      <c r="GG3953" s="84"/>
      <c r="GH3953" s="84"/>
    </row>
    <row r="3954" spans="187:190" s="2" customFormat="1" ht="18" customHeight="1" x14ac:dyDescent="0.2">
      <c r="GE3954" s="84"/>
      <c r="GF3954" s="84"/>
      <c r="GG3954" s="84"/>
      <c r="GH3954" s="84"/>
    </row>
    <row r="3955" spans="187:190" s="2" customFormat="1" ht="18" customHeight="1" x14ac:dyDescent="0.2">
      <c r="GE3955" s="84"/>
      <c r="GF3955" s="84"/>
      <c r="GG3955" s="84"/>
      <c r="GH3955" s="84"/>
    </row>
    <row r="3956" spans="187:190" s="2" customFormat="1" ht="18" customHeight="1" x14ac:dyDescent="0.2">
      <c r="GE3956" s="84"/>
      <c r="GF3956" s="84"/>
      <c r="GG3956" s="84"/>
      <c r="GH3956" s="84"/>
    </row>
    <row r="3957" spans="187:190" s="2" customFormat="1" ht="18" customHeight="1" x14ac:dyDescent="0.2">
      <c r="GE3957" s="84"/>
      <c r="GF3957" s="84"/>
      <c r="GG3957" s="84"/>
      <c r="GH3957" s="84"/>
    </row>
    <row r="3958" spans="187:190" s="2" customFormat="1" ht="18" customHeight="1" x14ac:dyDescent="0.2">
      <c r="GE3958" s="84"/>
      <c r="GF3958" s="84"/>
      <c r="GG3958" s="84"/>
      <c r="GH3958" s="84"/>
    </row>
    <row r="3959" spans="187:190" s="2" customFormat="1" ht="18" customHeight="1" x14ac:dyDescent="0.2">
      <c r="GE3959" s="84"/>
      <c r="GF3959" s="84"/>
      <c r="GG3959" s="84"/>
      <c r="GH3959" s="84"/>
    </row>
    <row r="3960" spans="187:190" s="2" customFormat="1" ht="18" customHeight="1" x14ac:dyDescent="0.2">
      <c r="GE3960" s="84"/>
      <c r="GF3960" s="84"/>
      <c r="GG3960" s="84"/>
      <c r="GH3960" s="84"/>
    </row>
    <row r="3961" spans="187:190" s="2" customFormat="1" ht="18" customHeight="1" x14ac:dyDescent="0.2">
      <c r="GE3961" s="84"/>
      <c r="GF3961" s="84"/>
      <c r="GG3961" s="84"/>
      <c r="GH3961" s="84"/>
    </row>
    <row r="3962" spans="187:190" s="2" customFormat="1" ht="18" customHeight="1" x14ac:dyDescent="0.2">
      <c r="GE3962" s="84"/>
      <c r="GF3962" s="84"/>
      <c r="GG3962" s="84"/>
      <c r="GH3962" s="84"/>
    </row>
    <row r="3963" spans="187:190" s="2" customFormat="1" ht="18" customHeight="1" x14ac:dyDescent="0.2">
      <c r="GE3963" s="84"/>
      <c r="GF3963" s="84"/>
      <c r="GG3963" s="84"/>
      <c r="GH3963" s="84"/>
    </row>
    <row r="3964" spans="187:190" s="2" customFormat="1" ht="18" customHeight="1" x14ac:dyDescent="0.2">
      <c r="GE3964" s="84"/>
      <c r="GF3964" s="84"/>
      <c r="GG3964" s="84"/>
      <c r="GH3964" s="84"/>
    </row>
    <row r="3965" spans="187:190" s="2" customFormat="1" ht="18" customHeight="1" x14ac:dyDescent="0.2">
      <c r="GE3965" s="84"/>
      <c r="GF3965" s="84"/>
      <c r="GG3965" s="84"/>
      <c r="GH3965" s="84"/>
    </row>
    <row r="3966" spans="187:190" s="2" customFormat="1" ht="18" customHeight="1" x14ac:dyDescent="0.2">
      <c r="GE3966" s="84"/>
      <c r="GF3966" s="84"/>
      <c r="GG3966" s="84"/>
      <c r="GH3966" s="84"/>
    </row>
    <row r="3967" spans="187:190" s="2" customFormat="1" ht="18" customHeight="1" x14ac:dyDescent="0.2">
      <c r="GE3967" s="84"/>
      <c r="GF3967" s="84"/>
      <c r="GG3967" s="84"/>
      <c r="GH3967" s="84"/>
    </row>
    <row r="3968" spans="187:190" s="2" customFormat="1" ht="18" customHeight="1" x14ac:dyDescent="0.2">
      <c r="GE3968" s="84"/>
      <c r="GF3968" s="84"/>
      <c r="GG3968" s="84"/>
      <c r="GH3968" s="84"/>
    </row>
    <row r="3969" spans="187:190" s="2" customFormat="1" ht="18" customHeight="1" x14ac:dyDescent="0.2">
      <c r="GE3969" s="84"/>
      <c r="GF3969" s="84"/>
      <c r="GG3969" s="84"/>
      <c r="GH3969" s="84"/>
    </row>
    <row r="3970" spans="187:190" s="2" customFormat="1" ht="18" customHeight="1" x14ac:dyDescent="0.2">
      <c r="GE3970" s="84"/>
      <c r="GF3970" s="84"/>
      <c r="GG3970" s="84"/>
      <c r="GH3970" s="84"/>
    </row>
    <row r="3971" spans="187:190" s="2" customFormat="1" ht="18" customHeight="1" x14ac:dyDescent="0.2">
      <c r="GE3971" s="84"/>
      <c r="GF3971" s="84"/>
      <c r="GG3971" s="84"/>
      <c r="GH3971" s="84"/>
    </row>
    <row r="3972" spans="187:190" s="2" customFormat="1" ht="18" customHeight="1" x14ac:dyDescent="0.2">
      <c r="GE3972" s="84"/>
      <c r="GF3972" s="84"/>
      <c r="GG3972" s="84"/>
      <c r="GH3972" s="84"/>
    </row>
    <row r="3973" spans="187:190" s="2" customFormat="1" ht="18" customHeight="1" x14ac:dyDescent="0.2">
      <c r="GE3973" s="84"/>
      <c r="GF3973" s="84"/>
      <c r="GG3973" s="84"/>
      <c r="GH3973" s="84"/>
    </row>
    <row r="3974" spans="187:190" s="2" customFormat="1" ht="18" customHeight="1" x14ac:dyDescent="0.2">
      <c r="GE3974" s="84"/>
      <c r="GF3974" s="84"/>
      <c r="GG3974" s="84"/>
      <c r="GH3974" s="84"/>
    </row>
    <row r="3975" spans="187:190" s="2" customFormat="1" ht="18" customHeight="1" x14ac:dyDescent="0.2">
      <c r="GE3975" s="84"/>
      <c r="GF3975" s="84"/>
      <c r="GG3975" s="84"/>
      <c r="GH3975" s="84"/>
    </row>
    <row r="3976" spans="187:190" s="2" customFormat="1" ht="18" customHeight="1" x14ac:dyDescent="0.2">
      <c r="GE3976" s="84"/>
      <c r="GF3976" s="84"/>
      <c r="GG3976" s="84"/>
      <c r="GH3976" s="84"/>
    </row>
    <row r="3977" spans="187:190" s="2" customFormat="1" ht="18" customHeight="1" x14ac:dyDescent="0.2">
      <c r="GE3977" s="84"/>
      <c r="GF3977" s="84"/>
      <c r="GG3977" s="84"/>
      <c r="GH3977" s="84"/>
    </row>
    <row r="3978" spans="187:190" s="2" customFormat="1" ht="18" customHeight="1" x14ac:dyDescent="0.2">
      <c r="GE3978" s="84"/>
      <c r="GF3978" s="84"/>
      <c r="GG3978" s="84"/>
      <c r="GH3978" s="84"/>
    </row>
    <row r="3979" spans="187:190" s="2" customFormat="1" ht="18" customHeight="1" x14ac:dyDescent="0.2">
      <c r="GE3979" s="84"/>
      <c r="GF3979" s="84"/>
      <c r="GG3979" s="84"/>
      <c r="GH3979" s="84"/>
    </row>
    <row r="3980" spans="187:190" s="2" customFormat="1" ht="18" customHeight="1" x14ac:dyDescent="0.2">
      <c r="GE3980" s="84"/>
      <c r="GF3980" s="84"/>
      <c r="GG3980" s="84"/>
      <c r="GH3980" s="84"/>
    </row>
    <row r="3981" spans="187:190" s="2" customFormat="1" ht="18" customHeight="1" x14ac:dyDescent="0.2">
      <c r="GE3981" s="84"/>
      <c r="GF3981" s="84"/>
      <c r="GG3981" s="84"/>
      <c r="GH3981" s="84"/>
    </row>
    <row r="3982" spans="187:190" s="2" customFormat="1" ht="18" customHeight="1" x14ac:dyDescent="0.2">
      <c r="GE3982" s="84"/>
      <c r="GF3982" s="84"/>
      <c r="GG3982" s="84"/>
      <c r="GH3982" s="84"/>
    </row>
    <row r="3983" spans="187:190" s="2" customFormat="1" ht="18" customHeight="1" x14ac:dyDescent="0.2">
      <c r="GE3983" s="84"/>
      <c r="GF3983" s="84"/>
      <c r="GG3983" s="84"/>
      <c r="GH3983" s="84"/>
    </row>
    <row r="3984" spans="187:190" s="2" customFormat="1" ht="18" customHeight="1" x14ac:dyDescent="0.2">
      <c r="GE3984" s="84"/>
      <c r="GF3984" s="84"/>
      <c r="GG3984" s="84"/>
      <c r="GH3984" s="84"/>
    </row>
    <row r="3985" spans="187:190" s="2" customFormat="1" ht="18" customHeight="1" x14ac:dyDescent="0.2">
      <c r="GE3985" s="84"/>
      <c r="GF3985" s="84"/>
      <c r="GG3985" s="84"/>
      <c r="GH3985" s="84"/>
    </row>
    <row r="3986" spans="187:190" s="2" customFormat="1" ht="18" customHeight="1" x14ac:dyDescent="0.2">
      <c r="GE3986" s="84"/>
      <c r="GF3986" s="84"/>
      <c r="GG3986" s="84"/>
      <c r="GH3986" s="84"/>
    </row>
    <row r="3987" spans="187:190" s="2" customFormat="1" ht="18" customHeight="1" x14ac:dyDescent="0.2">
      <c r="GE3987" s="84"/>
      <c r="GF3987" s="84"/>
      <c r="GG3987" s="84"/>
      <c r="GH3987" s="84"/>
    </row>
    <row r="3988" spans="187:190" s="2" customFormat="1" ht="18" customHeight="1" x14ac:dyDescent="0.2">
      <c r="GE3988" s="84"/>
      <c r="GF3988" s="84"/>
      <c r="GG3988" s="84"/>
      <c r="GH3988" s="84"/>
    </row>
    <row r="3989" spans="187:190" s="2" customFormat="1" ht="18" customHeight="1" x14ac:dyDescent="0.2">
      <c r="GE3989" s="84"/>
      <c r="GF3989" s="84"/>
      <c r="GG3989" s="84"/>
      <c r="GH3989" s="84"/>
    </row>
    <row r="3990" spans="187:190" s="2" customFormat="1" ht="18" customHeight="1" x14ac:dyDescent="0.2">
      <c r="GE3990" s="84"/>
      <c r="GF3990" s="84"/>
      <c r="GG3990" s="84"/>
      <c r="GH3990" s="84"/>
    </row>
    <row r="3991" spans="187:190" s="2" customFormat="1" ht="18" customHeight="1" x14ac:dyDescent="0.2">
      <c r="GE3991" s="84"/>
      <c r="GF3991" s="84"/>
      <c r="GG3991" s="84"/>
      <c r="GH3991" s="84"/>
    </row>
    <row r="3992" spans="187:190" s="2" customFormat="1" ht="18" customHeight="1" x14ac:dyDescent="0.2">
      <c r="GE3992" s="84"/>
      <c r="GF3992" s="84"/>
      <c r="GG3992" s="84"/>
      <c r="GH3992" s="84"/>
    </row>
    <row r="3993" spans="187:190" s="2" customFormat="1" ht="18" customHeight="1" x14ac:dyDescent="0.2">
      <c r="GE3993" s="84"/>
      <c r="GF3993" s="84"/>
      <c r="GG3993" s="84"/>
      <c r="GH3993" s="84"/>
    </row>
    <row r="3994" spans="187:190" s="2" customFormat="1" ht="18" customHeight="1" x14ac:dyDescent="0.2">
      <c r="GE3994" s="84"/>
      <c r="GF3994" s="84"/>
      <c r="GG3994" s="84"/>
      <c r="GH3994" s="84"/>
    </row>
    <row r="3995" spans="187:190" s="2" customFormat="1" ht="18" customHeight="1" x14ac:dyDescent="0.2">
      <c r="GE3995" s="84"/>
      <c r="GF3995" s="84"/>
      <c r="GG3995" s="84"/>
      <c r="GH3995" s="84"/>
    </row>
    <row r="3996" spans="187:190" s="2" customFormat="1" ht="18" customHeight="1" x14ac:dyDescent="0.2">
      <c r="GE3996" s="84"/>
      <c r="GF3996" s="84"/>
      <c r="GG3996" s="84"/>
      <c r="GH3996" s="84"/>
    </row>
    <row r="3997" spans="187:190" s="2" customFormat="1" ht="18" customHeight="1" x14ac:dyDescent="0.2">
      <c r="GE3997" s="84"/>
      <c r="GF3997" s="84"/>
      <c r="GG3997" s="84"/>
      <c r="GH3997" s="84"/>
    </row>
    <row r="3998" spans="187:190" s="2" customFormat="1" ht="18" customHeight="1" x14ac:dyDescent="0.2">
      <c r="GE3998" s="84"/>
      <c r="GF3998" s="84"/>
      <c r="GG3998" s="84"/>
      <c r="GH3998" s="84"/>
    </row>
    <row r="3999" spans="187:190" s="2" customFormat="1" ht="18" customHeight="1" x14ac:dyDescent="0.2">
      <c r="GE3999" s="84"/>
      <c r="GF3999" s="84"/>
      <c r="GG3999" s="84"/>
      <c r="GH3999" s="84"/>
    </row>
    <row r="4000" spans="187:190" s="2" customFormat="1" ht="18" customHeight="1" x14ac:dyDescent="0.2">
      <c r="GE4000" s="84"/>
      <c r="GF4000" s="84"/>
      <c r="GG4000" s="84"/>
      <c r="GH4000" s="84"/>
    </row>
    <row r="4001" spans="187:190" s="2" customFormat="1" ht="18" customHeight="1" x14ac:dyDescent="0.2">
      <c r="GE4001" s="84"/>
      <c r="GF4001" s="84"/>
      <c r="GG4001" s="84"/>
      <c r="GH4001" s="84"/>
    </row>
    <row r="4002" spans="187:190" s="2" customFormat="1" ht="18" customHeight="1" x14ac:dyDescent="0.2">
      <c r="GE4002" s="84"/>
      <c r="GF4002" s="84"/>
      <c r="GG4002" s="84"/>
      <c r="GH4002" s="84"/>
    </row>
    <row r="4003" spans="187:190" s="2" customFormat="1" ht="18" customHeight="1" x14ac:dyDescent="0.2">
      <c r="GE4003" s="84"/>
      <c r="GF4003" s="84"/>
      <c r="GG4003" s="84"/>
      <c r="GH4003" s="84"/>
    </row>
    <row r="4004" spans="187:190" s="2" customFormat="1" ht="18" customHeight="1" x14ac:dyDescent="0.2">
      <c r="GE4004" s="84"/>
      <c r="GF4004" s="84"/>
      <c r="GG4004" s="84"/>
      <c r="GH4004" s="84"/>
    </row>
    <row r="4005" spans="187:190" s="2" customFormat="1" ht="18" customHeight="1" x14ac:dyDescent="0.2">
      <c r="GE4005" s="84"/>
      <c r="GF4005" s="84"/>
      <c r="GG4005" s="84"/>
      <c r="GH4005" s="84"/>
    </row>
    <row r="4006" spans="187:190" s="2" customFormat="1" ht="18" customHeight="1" x14ac:dyDescent="0.2">
      <c r="GE4006" s="84"/>
      <c r="GF4006" s="84"/>
      <c r="GG4006" s="84"/>
      <c r="GH4006" s="84"/>
    </row>
    <row r="4007" spans="187:190" s="2" customFormat="1" ht="18" customHeight="1" x14ac:dyDescent="0.2">
      <c r="GE4007" s="84"/>
      <c r="GF4007" s="84"/>
      <c r="GG4007" s="84"/>
      <c r="GH4007" s="84"/>
    </row>
    <row r="4008" spans="187:190" s="2" customFormat="1" ht="18" customHeight="1" x14ac:dyDescent="0.2">
      <c r="GE4008" s="84"/>
      <c r="GF4008" s="84"/>
      <c r="GG4008" s="84"/>
      <c r="GH4008" s="84"/>
    </row>
    <row r="4009" spans="187:190" s="2" customFormat="1" ht="18" customHeight="1" x14ac:dyDescent="0.2">
      <c r="GE4009" s="84"/>
      <c r="GF4009" s="84"/>
      <c r="GG4009" s="84"/>
      <c r="GH4009" s="84"/>
    </row>
    <row r="4010" spans="187:190" s="2" customFormat="1" ht="18" customHeight="1" x14ac:dyDescent="0.2">
      <c r="GE4010" s="84"/>
      <c r="GF4010" s="84"/>
      <c r="GG4010" s="84"/>
      <c r="GH4010" s="84"/>
    </row>
    <row r="4011" spans="187:190" s="2" customFormat="1" ht="18" customHeight="1" x14ac:dyDescent="0.2">
      <c r="GE4011" s="84"/>
      <c r="GF4011" s="84"/>
      <c r="GG4011" s="84"/>
      <c r="GH4011" s="84"/>
    </row>
    <row r="4012" spans="187:190" s="2" customFormat="1" ht="18" customHeight="1" x14ac:dyDescent="0.2">
      <c r="GE4012" s="84"/>
      <c r="GF4012" s="84"/>
      <c r="GG4012" s="84"/>
      <c r="GH4012" s="84"/>
    </row>
    <row r="4013" spans="187:190" s="2" customFormat="1" ht="18" customHeight="1" x14ac:dyDescent="0.2">
      <c r="GE4013" s="84"/>
      <c r="GF4013" s="84"/>
      <c r="GG4013" s="84"/>
      <c r="GH4013" s="84"/>
    </row>
    <row r="4014" spans="187:190" s="2" customFormat="1" ht="18" customHeight="1" x14ac:dyDescent="0.2">
      <c r="GE4014" s="84"/>
      <c r="GF4014" s="84"/>
      <c r="GG4014" s="84"/>
      <c r="GH4014" s="84"/>
    </row>
    <row r="4015" spans="187:190" s="2" customFormat="1" ht="18" customHeight="1" x14ac:dyDescent="0.2">
      <c r="GE4015" s="84"/>
      <c r="GF4015" s="84"/>
      <c r="GG4015" s="84"/>
      <c r="GH4015" s="84"/>
    </row>
    <row r="4016" spans="187:190" s="2" customFormat="1" ht="18" customHeight="1" x14ac:dyDescent="0.2">
      <c r="GE4016" s="84"/>
      <c r="GF4016" s="84"/>
      <c r="GG4016" s="84"/>
      <c r="GH4016" s="84"/>
    </row>
    <row r="4017" spans="187:190" s="2" customFormat="1" ht="18" customHeight="1" x14ac:dyDescent="0.2">
      <c r="GE4017" s="84"/>
      <c r="GF4017" s="84"/>
      <c r="GG4017" s="84"/>
      <c r="GH4017" s="84"/>
    </row>
    <row r="4018" spans="187:190" s="2" customFormat="1" ht="18" customHeight="1" x14ac:dyDescent="0.2">
      <c r="GE4018" s="84"/>
      <c r="GF4018" s="84"/>
      <c r="GG4018" s="84"/>
      <c r="GH4018" s="84"/>
    </row>
    <row r="4019" spans="187:190" s="2" customFormat="1" ht="18" customHeight="1" x14ac:dyDescent="0.2">
      <c r="GE4019" s="84"/>
      <c r="GF4019" s="84"/>
      <c r="GG4019" s="84"/>
      <c r="GH4019" s="84"/>
    </row>
    <row r="4020" spans="187:190" s="2" customFormat="1" ht="18" customHeight="1" x14ac:dyDescent="0.2">
      <c r="GE4020" s="84"/>
      <c r="GF4020" s="84"/>
      <c r="GG4020" s="84"/>
      <c r="GH4020" s="84"/>
    </row>
    <row r="4021" spans="187:190" s="2" customFormat="1" ht="18" customHeight="1" x14ac:dyDescent="0.2">
      <c r="GE4021" s="84"/>
      <c r="GF4021" s="84"/>
      <c r="GG4021" s="84"/>
      <c r="GH4021" s="84"/>
    </row>
    <row r="4022" spans="187:190" s="2" customFormat="1" ht="18" customHeight="1" x14ac:dyDescent="0.2">
      <c r="GE4022" s="84"/>
      <c r="GF4022" s="84"/>
      <c r="GG4022" s="84"/>
      <c r="GH4022" s="84"/>
    </row>
    <row r="4023" spans="187:190" s="2" customFormat="1" ht="18" customHeight="1" x14ac:dyDescent="0.2">
      <c r="GE4023" s="84"/>
      <c r="GF4023" s="84"/>
      <c r="GG4023" s="84"/>
      <c r="GH4023" s="84"/>
    </row>
    <row r="4024" spans="187:190" s="2" customFormat="1" ht="18" customHeight="1" x14ac:dyDescent="0.2">
      <c r="GE4024" s="84"/>
      <c r="GF4024" s="84"/>
      <c r="GG4024" s="84"/>
      <c r="GH4024" s="84"/>
    </row>
    <row r="4025" spans="187:190" s="2" customFormat="1" ht="18" customHeight="1" x14ac:dyDescent="0.2">
      <c r="GE4025" s="84"/>
      <c r="GF4025" s="84"/>
      <c r="GG4025" s="84"/>
      <c r="GH4025" s="84"/>
    </row>
    <row r="4026" spans="187:190" s="2" customFormat="1" ht="18" customHeight="1" x14ac:dyDescent="0.2">
      <c r="GE4026" s="84"/>
      <c r="GF4026" s="84"/>
      <c r="GG4026" s="84"/>
      <c r="GH4026" s="84"/>
    </row>
    <row r="4027" spans="187:190" s="2" customFormat="1" ht="18" customHeight="1" x14ac:dyDescent="0.2">
      <c r="GE4027" s="84"/>
      <c r="GF4027" s="84"/>
      <c r="GG4027" s="84"/>
      <c r="GH4027" s="84"/>
    </row>
    <row r="4028" spans="187:190" s="2" customFormat="1" ht="18" customHeight="1" x14ac:dyDescent="0.2">
      <c r="GE4028" s="84"/>
      <c r="GF4028" s="84"/>
      <c r="GG4028" s="84"/>
      <c r="GH4028" s="84"/>
    </row>
    <row r="4029" spans="187:190" s="2" customFormat="1" ht="18" customHeight="1" x14ac:dyDescent="0.2">
      <c r="GE4029" s="84"/>
      <c r="GF4029" s="84"/>
      <c r="GG4029" s="84"/>
      <c r="GH4029" s="84"/>
    </row>
    <row r="4030" spans="187:190" s="2" customFormat="1" ht="18" customHeight="1" x14ac:dyDescent="0.2">
      <c r="GE4030" s="84"/>
      <c r="GF4030" s="84"/>
      <c r="GG4030" s="84"/>
      <c r="GH4030" s="84"/>
    </row>
    <row r="4031" spans="187:190" s="2" customFormat="1" ht="18" customHeight="1" x14ac:dyDescent="0.2">
      <c r="GE4031" s="84"/>
      <c r="GF4031" s="84"/>
      <c r="GG4031" s="84"/>
      <c r="GH4031" s="84"/>
    </row>
    <row r="4032" spans="187:190" s="2" customFormat="1" ht="18" customHeight="1" x14ac:dyDescent="0.2">
      <c r="GE4032" s="84"/>
      <c r="GF4032" s="84"/>
      <c r="GG4032" s="84"/>
      <c r="GH4032" s="84"/>
    </row>
    <row r="4033" spans="187:190" s="2" customFormat="1" ht="18" customHeight="1" x14ac:dyDescent="0.2">
      <c r="GE4033" s="84"/>
      <c r="GF4033" s="84"/>
      <c r="GG4033" s="84"/>
      <c r="GH4033" s="84"/>
    </row>
    <row r="4034" spans="187:190" s="2" customFormat="1" ht="18" customHeight="1" x14ac:dyDescent="0.2">
      <c r="GE4034" s="84"/>
      <c r="GF4034" s="84"/>
      <c r="GG4034" s="84"/>
      <c r="GH4034" s="84"/>
    </row>
    <row r="4035" spans="187:190" s="2" customFormat="1" ht="18" customHeight="1" x14ac:dyDescent="0.2">
      <c r="GE4035" s="84"/>
      <c r="GF4035" s="84"/>
      <c r="GG4035" s="84"/>
      <c r="GH4035" s="84"/>
    </row>
    <row r="4036" spans="187:190" s="2" customFormat="1" ht="18" customHeight="1" x14ac:dyDescent="0.2">
      <c r="GE4036" s="84"/>
      <c r="GF4036" s="84"/>
      <c r="GG4036" s="84"/>
      <c r="GH4036" s="84"/>
    </row>
    <row r="4037" spans="187:190" s="2" customFormat="1" ht="18" customHeight="1" x14ac:dyDescent="0.2">
      <c r="GE4037" s="84"/>
      <c r="GF4037" s="84"/>
      <c r="GG4037" s="84"/>
      <c r="GH4037" s="84"/>
    </row>
    <row r="4038" spans="187:190" s="2" customFormat="1" ht="18" customHeight="1" x14ac:dyDescent="0.2">
      <c r="GE4038" s="84"/>
      <c r="GF4038" s="84"/>
      <c r="GG4038" s="84"/>
      <c r="GH4038" s="84"/>
    </row>
    <row r="4039" spans="187:190" s="2" customFormat="1" ht="18" customHeight="1" x14ac:dyDescent="0.2">
      <c r="GE4039" s="84"/>
      <c r="GF4039" s="84"/>
      <c r="GG4039" s="84"/>
      <c r="GH4039" s="84"/>
    </row>
    <row r="4040" spans="187:190" s="2" customFormat="1" ht="18" customHeight="1" x14ac:dyDescent="0.2">
      <c r="GE4040" s="84"/>
      <c r="GF4040" s="84"/>
      <c r="GG4040" s="84"/>
      <c r="GH4040" s="84"/>
    </row>
    <row r="4041" spans="187:190" s="2" customFormat="1" ht="18" customHeight="1" x14ac:dyDescent="0.2">
      <c r="GE4041" s="84"/>
      <c r="GF4041" s="84"/>
      <c r="GG4041" s="84"/>
      <c r="GH4041" s="84"/>
    </row>
    <row r="4042" spans="187:190" s="2" customFormat="1" ht="18" customHeight="1" x14ac:dyDescent="0.2">
      <c r="GE4042" s="84"/>
      <c r="GF4042" s="84"/>
      <c r="GG4042" s="84"/>
      <c r="GH4042" s="84"/>
    </row>
    <row r="4043" spans="187:190" s="2" customFormat="1" ht="18" customHeight="1" x14ac:dyDescent="0.2">
      <c r="GE4043" s="84"/>
      <c r="GF4043" s="84"/>
      <c r="GG4043" s="84"/>
      <c r="GH4043" s="84"/>
    </row>
    <row r="4044" spans="187:190" s="2" customFormat="1" ht="18" customHeight="1" x14ac:dyDescent="0.2">
      <c r="GE4044" s="84"/>
      <c r="GF4044" s="84"/>
      <c r="GG4044" s="84"/>
      <c r="GH4044" s="84"/>
    </row>
    <row r="4045" spans="187:190" s="2" customFormat="1" ht="18" customHeight="1" x14ac:dyDescent="0.2">
      <c r="GE4045" s="84"/>
      <c r="GF4045" s="84"/>
      <c r="GG4045" s="84"/>
      <c r="GH4045" s="84"/>
    </row>
    <row r="4046" spans="187:190" s="2" customFormat="1" ht="18" customHeight="1" x14ac:dyDescent="0.2">
      <c r="GE4046" s="84"/>
      <c r="GF4046" s="84"/>
      <c r="GG4046" s="84"/>
      <c r="GH4046" s="84"/>
    </row>
    <row r="4047" spans="187:190" s="2" customFormat="1" ht="18" customHeight="1" x14ac:dyDescent="0.2">
      <c r="GE4047" s="84"/>
      <c r="GF4047" s="84"/>
      <c r="GG4047" s="84"/>
      <c r="GH4047" s="84"/>
    </row>
    <row r="4048" spans="187:190" s="2" customFormat="1" ht="18" customHeight="1" x14ac:dyDescent="0.2">
      <c r="GE4048" s="84"/>
      <c r="GF4048" s="84"/>
      <c r="GG4048" s="84"/>
      <c r="GH4048" s="84"/>
    </row>
    <row r="4049" spans="187:190" s="2" customFormat="1" ht="18" customHeight="1" x14ac:dyDescent="0.2">
      <c r="GE4049" s="84"/>
      <c r="GF4049" s="84"/>
      <c r="GG4049" s="84"/>
      <c r="GH4049" s="84"/>
    </row>
    <row r="4050" spans="187:190" s="2" customFormat="1" ht="18" customHeight="1" x14ac:dyDescent="0.2">
      <c r="GE4050" s="84"/>
      <c r="GF4050" s="84"/>
      <c r="GG4050" s="84"/>
      <c r="GH4050" s="84"/>
    </row>
    <row r="4051" spans="187:190" s="2" customFormat="1" ht="18" customHeight="1" x14ac:dyDescent="0.2">
      <c r="GE4051" s="84"/>
      <c r="GF4051" s="84"/>
      <c r="GG4051" s="84"/>
      <c r="GH4051" s="84"/>
    </row>
    <row r="4052" spans="187:190" s="2" customFormat="1" ht="18" customHeight="1" x14ac:dyDescent="0.2">
      <c r="GE4052" s="84"/>
      <c r="GF4052" s="84"/>
      <c r="GG4052" s="84"/>
      <c r="GH4052" s="84"/>
    </row>
    <row r="4053" spans="187:190" s="2" customFormat="1" ht="18" customHeight="1" x14ac:dyDescent="0.2">
      <c r="GE4053" s="84"/>
      <c r="GF4053" s="84"/>
      <c r="GG4053" s="84"/>
      <c r="GH4053" s="84"/>
    </row>
    <row r="4054" spans="187:190" s="2" customFormat="1" ht="18" customHeight="1" x14ac:dyDescent="0.2">
      <c r="GE4054" s="84"/>
      <c r="GF4054" s="84"/>
      <c r="GG4054" s="84"/>
      <c r="GH4054" s="84"/>
    </row>
    <row r="4055" spans="187:190" s="2" customFormat="1" ht="18" customHeight="1" x14ac:dyDescent="0.2">
      <c r="GE4055" s="84"/>
      <c r="GF4055" s="84"/>
      <c r="GG4055" s="84"/>
      <c r="GH4055" s="84"/>
    </row>
    <row r="4056" spans="187:190" s="2" customFormat="1" ht="18" customHeight="1" x14ac:dyDescent="0.2">
      <c r="GE4056" s="84"/>
      <c r="GF4056" s="84"/>
      <c r="GG4056" s="84"/>
      <c r="GH4056" s="84"/>
    </row>
    <row r="4057" spans="187:190" s="2" customFormat="1" ht="18" customHeight="1" x14ac:dyDescent="0.2">
      <c r="GE4057" s="84"/>
      <c r="GF4057" s="84"/>
      <c r="GG4057" s="84"/>
      <c r="GH4057" s="84"/>
    </row>
    <row r="4058" spans="187:190" s="2" customFormat="1" ht="18" customHeight="1" x14ac:dyDescent="0.2">
      <c r="GE4058" s="84"/>
      <c r="GF4058" s="84"/>
      <c r="GG4058" s="84"/>
      <c r="GH4058" s="84"/>
    </row>
    <row r="4059" spans="187:190" s="2" customFormat="1" ht="18" customHeight="1" x14ac:dyDescent="0.2">
      <c r="GE4059" s="84"/>
      <c r="GF4059" s="84"/>
      <c r="GG4059" s="84"/>
      <c r="GH4059" s="84"/>
    </row>
    <row r="4060" spans="187:190" s="2" customFormat="1" ht="18" customHeight="1" x14ac:dyDescent="0.2">
      <c r="GE4060" s="84"/>
      <c r="GF4060" s="84"/>
      <c r="GG4060" s="84"/>
      <c r="GH4060" s="84"/>
    </row>
    <row r="4061" spans="187:190" s="2" customFormat="1" ht="18" customHeight="1" x14ac:dyDescent="0.2">
      <c r="GE4061" s="84"/>
      <c r="GF4061" s="84"/>
      <c r="GG4061" s="84"/>
      <c r="GH4061" s="84"/>
    </row>
    <row r="4062" spans="187:190" s="2" customFormat="1" ht="18" customHeight="1" x14ac:dyDescent="0.2">
      <c r="GE4062" s="84"/>
      <c r="GF4062" s="84"/>
      <c r="GG4062" s="84"/>
      <c r="GH4062" s="84"/>
    </row>
    <row r="4063" spans="187:190" s="2" customFormat="1" ht="18" customHeight="1" x14ac:dyDescent="0.2">
      <c r="GE4063" s="84"/>
      <c r="GF4063" s="84"/>
      <c r="GG4063" s="84"/>
      <c r="GH4063" s="84"/>
    </row>
    <row r="4064" spans="187:190" s="2" customFormat="1" ht="18" customHeight="1" x14ac:dyDescent="0.2">
      <c r="GE4064" s="84"/>
      <c r="GF4064" s="84"/>
      <c r="GG4064" s="84"/>
      <c r="GH4064" s="84"/>
    </row>
    <row r="4065" spans="187:190" s="2" customFormat="1" ht="18" customHeight="1" x14ac:dyDescent="0.2">
      <c r="GE4065" s="84"/>
      <c r="GF4065" s="84"/>
      <c r="GG4065" s="84"/>
      <c r="GH4065" s="84"/>
    </row>
    <row r="4066" spans="187:190" s="2" customFormat="1" ht="18" customHeight="1" x14ac:dyDescent="0.2">
      <c r="GE4066" s="84"/>
      <c r="GF4066" s="84"/>
      <c r="GG4066" s="84"/>
      <c r="GH4066" s="84"/>
    </row>
    <row r="4067" spans="187:190" s="2" customFormat="1" ht="18" customHeight="1" x14ac:dyDescent="0.2">
      <c r="GE4067" s="84"/>
      <c r="GF4067" s="84"/>
      <c r="GG4067" s="84"/>
      <c r="GH4067" s="84"/>
    </row>
    <row r="4068" spans="187:190" s="2" customFormat="1" ht="18" customHeight="1" x14ac:dyDescent="0.2">
      <c r="GE4068" s="84"/>
      <c r="GF4068" s="84"/>
      <c r="GG4068" s="84"/>
      <c r="GH4068" s="84"/>
    </row>
    <row r="4069" spans="187:190" s="2" customFormat="1" ht="18" customHeight="1" x14ac:dyDescent="0.2">
      <c r="GE4069" s="84"/>
      <c r="GF4069" s="84"/>
      <c r="GG4069" s="84"/>
      <c r="GH4069" s="84"/>
    </row>
    <row r="4070" spans="187:190" s="2" customFormat="1" ht="18" customHeight="1" x14ac:dyDescent="0.2">
      <c r="GE4070" s="84"/>
      <c r="GF4070" s="84"/>
      <c r="GG4070" s="84"/>
      <c r="GH4070" s="84"/>
    </row>
    <row r="4071" spans="187:190" s="2" customFormat="1" ht="18" customHeight="1" x14ac:dyDescent="0.2">
      <c r="GE4071" s="84"/>
      <c r="GF4071" s="84"/>
      <c r="GG4071" s="84"/>
      <c r="GH4071" s="84"/>
    </row>
    <row r="4072" spans="187:190" s="2" customFormat="1" ht="18" customHeight="1" x14ac:dyDescent="0.2">
      <c r="GE4072" s="84"/>
      <c r="GF4072" s="84"/>
      <c r="GG4072" s="84"/>
      <c r="GH4072" s="84"/>
    </row>
    <row r="4073" spans="187:190" s="2" customFormat="1" ht="18" customHeight="1" x14ac:dyDescent="0.2">
      <c r="GE4073" s="84"/>
      <c r="GF4073" s="84"/>
      <c r="GG4073" s="84"/>
      <c r="GH4073" s="84"/>
    </row>
    <row r="4074" spans="187:190" s="2" customFormat="1" ht="18" customHeight="1" x14ac:dyDescent="0.2">
      <c r="GE4074" s="84"/>
      <c r="GF4074" s="84"/>
      <c r="GG4074" s="84"/>
      <c r="GH4074" s="84"/>
    </row>
    <row r="4075" spans="187:190" s="2" customFormat="1" ht="18" customHeight="1" x14ac:dyDescent="0.2">
      <c r="GE4075" s="84"/>
      <c r="GF4075" s="84"/>
      <c r="GG4075" s="84"/>
      <c r="GH4075" s="84"/>
    </row>
    <row r="4076" spans="187:190" s="2" customFormat="1" ht="18" customHeight="1" x14ac:dyDescent="0.2">
      <c r="GE4076" s="84"/>
      <c r="GF4076" s="84"/>
      <c r="GG4076" s="84"/>
      <c r="GH4076" s="84"/>
    </row>
    <row r="4077" spans="187:190" s="2" customFormat="1" ht="18" customHeight="1" x14ac:dyDescent="0.2">
      <c r="GE4077" s="84"/>
      <c r="GF4077" s="84"/>
      <c r="GG4077" s="84"/>
      <c r="GH4077" s="84"/>
    </row>
    <row r="4078" spans="187:190" s="2" customFormat="1" ht="18" customHeight="1" x14ac:dyDescent="0.2">
      <c r="GE4078" s="84"/>
      <c r="GF4078" s="84"/>
      <c r="GG4078" s="84"/>
      <c r="GH4078" s="84"/>
    </row>
    <row r="4079" spans="187:190" s="2" customFormat="1" ht="18" customHeight="1" x14ac:dyDescent="0.2">
      <c r="GE4079" s="84"/>
      <c r="GF4079" s="84"/>
      <c r="GG4079" s="84"/>
      <c r="GH4079" s="84"/>
    </row>
    <row r="4080" spans="187:190" s="2" customFormat="1" ht="18" customHeight="1" x14ac:dyDescent="0.2">
      <c r="GE4080" s="84"/>
      <c r="GF4080" s="84"/>
      <c r="GG4080" s="84"/>
      <c r="GH4080" s="84"/>
    </row>
    <row r="4081" spans="187:190" s="2" customFormat="1" ht="18" customHeight="1" x14ac:dyDescent="0.2">
      <c r="GE4081" s="84"/>
      <c r="GF4081" s="84"/>
      <c r="GG4081" s="84"/>
      <c r="GH4081" s="84"/>
    </row>
    <row r="4082" spans="187:190" s="2" customFormat="1" ht="18" customHeight="1" x14ac:dyDescent="0.2">
      <c r="GE4082" s="84"/>
      <c r="GF4082" s="84"/>
      <c r="GG4082" s="84"/>
      <c r="GH4082" s="84"/>
    </row>
    <row r="4083" spans="187:190" s="2" customFormat="1" ht="18" customHeight="1" x14ac:dyDescent="0.2">
      <c r="GE4083" s="84"/>
      <c r="GF4083" s="84"/>
      <c r="GG4083" s="84"/>
      <c r="GH4083" s="84"/>
    </row>
    <row r="4084" spans="187:190" s="2" customFormat="1" ht="18" customHeight="1" x14ac:dyDescent="0.2">
      <c r="GE4084" s="84"/>
      <c r="GF4084" s="84"/>
      <c r="GG4084" s="84"/>
      <c r="GH4084" s="84"/>
    </row>
    <row r="4085" spans="187:190" s="2" customFormat="1" ht="18" customHeight="1" x14ac:dyDescent="0.2">
      <c r="GE4085" s="84"/>
      <c r="GF4085" s="84"/>
      <c r="GG4085" s="84"/>
      <c r="GH4085" s="84"/>
    </row>
    <row r="4086" spans="187:190" s="2" customFormat="1" ht="18" customHeight="1" x14ac:dyDescent="0.2">
      <c r="GE4086" s="84"/>
      <c r="GF4086" s="84"/>
      <c r="GG4086" s="84"/>
      <c r="GH4086" s="84"/>
    </row>
    <row r="4087" spans="187:190" s="2" customFormat="1" ht="18" customHeight="1" x14ac:dyDescent="0.2">
      <c r="GE4087" s="84"/>
      <c r="GF4087" s="84"/>
      <c r="GG4087" s="84"/>
      <c r="GH4087" s="84"/>
    </row>
    <row r="4088" spans="187:190" s="2" customFormat="1" ht="18" customHeight="1" x14ac:dyDescent="0.2">
      <c r="GE4088" s="84"/>
      <c r="GF4088" s="84"/>
      <c r="GG4088" s="84"/>
      <c r="GH4088" s="84"/>
    </row>
    <row r="4089" spans="187:190" s="2" customFormat="1" ht="18" customHeight="1" x14ac:dyDescent="0.2">
      <c r="GE4089" s="84"/>
      <c r="GF4089" s="84"/>
      <c r="GG4089" s="84"/>
      <c r="GH4089" s="84"/>
    </row>
    <row r="4090" spans="187:190" s="2" customFormat="1" ht="18" customHeight="1" x14ac:dyDescent="0.2">
      <c r="GE4090" s="84"/>
      <c r="GF4090" s="84"/>
      <c r="GG4090" s="84"/>
      <c r="GH4090" s="84"/>
    </row>
    <row r="4091" spans="187:190" s="2" customFormat="1" ht="18" customHeight="1" x14ac:dyDescent="0.2">
      <c r="GE4091" s="84"/>
      <c r="GF4091" s="84"/>
      <c r="GG4091" s="84"/>
      <c r="GH4091" s="84"/>
    </row>
    <row r="4092" spans="187:190" s="2" customFormat="1" ht="18" customHeight="1" x14ac:dyDescent="0.2">
      <c r="GE4092" s="84"/>
      <c r="GF4092" s="84"/>
      <c r="GG4092" s="84"/>
      <c r="GH4092" s="84"/>
    </row>
    <row r="4093" spans="187:190" s="2" customFormat="1" ht="18" customHeight="1" x14ac:dyDescent="0.2">
      <c r="GE4093" s="84"/>
      <c r="GF4093" s="84"/>
      <c r="GG4093" s="84"/>
      <c r="GH4093" s="84"/>
    </row>
    <row r="4094" spans="187:190" s="2" customFormat="1" ht="18" customHeight="1" x14ac:dyDescent="0.2">
      <c r="GE4094" s="84"/>
      <c r="GF4094" s="84"/>
      <c r="GG4094" s="84"/>
      <c r="GH4094" s="84"/>
    </row>
    <row r="4095" spans="187:190" s="2" customFormat="1" ht="18" customHeight="1" x14ac:dyDescent="0.2">
      <c r="GE4095" s="84"/>
      <c r="GF4095" s="84"/>
      <c r="GG4095" s="84"/>
      <c r="GH4095" s="84"/>
    </row>
    <row r="4096" spans="187:190" s="2" customFormat="1" ht="18" customHeight="1" x14ac:dyDescent="0.2">
      <c r="GE4096" s="84"/>
      <c r="GF4096" s="84"/>
      <c r="GG4096" s="84"/>
      <c r="GH4096" s="84"/>
    </row>
    <row r="4097" spans="187:190" s="2" customFormat="1" ht="18" customHeight="1" x14ac:dyDescent="0.2">
      <c r="GE4097" s="84"/>
      <c r="GF4097" s="84"/>
      <c r="GG4097" s="84"/>
      <c r="GH4097" s="84"/>
    </row>
    <row r="4098" spans="187:190" s="2" customFormat="1" ht="18" customHeight="1" x14ac:dyDescent="0.2">
      <c r="GE4098" s="84"/>
      <c r="GF4098" s="84"/>
      <c r="GG4098" s="84"/>
      <c r="GH4098" s="84"/>
    </row>
    <row r="4099" spans="187:190" s="2" customFormat="1" ht="18" customHeight="1" x14ac:dyDescent="0.2">
      <c r="GE4099" s="84"/>
      <c r="GF4099" s="84"/>
      <c r="GG4099" s="84"/>
      <c r="GH4099" s="84"/>
    </row>
    <row r="4100" spans="187:190" s="2" customFormat="1" ht="18" customHeight="1" x14ac:dyDescent="0.2">
      <c r="GE4100" s="84"/>
      <c r="GF4100" s="84"/>
      <c r="GG4100" s="84"/>
      <c r="GH4100" s="84"/>
    </row>
    <row r="4101" spans="187:190" s="2" customFormat="1" ht="18" customHeight="1" x14ac:dyDescent="0.2">
      <c r="GE4101" s="84"/>
      <c r="GF4101" s="84"/>
      <c r="GG4101" s="84"/>
      <c r="GH4101" s="84"/>
    </row>
    <row r="4102" spans="187:190" s="2" customFormat="1" ht="18" customHeight="1" x14ac:dyDescent="0.2">
      <c r="GE4102" s="84"/>
      <c r="GF4102" s="84"/>
      <c r="GG4102" s="84"/>
      <c r="GH4102" s="84"/>
    </row>
    <row r="4103" spans="187:190" s="2" customFormat="1" ht="18" customHeight="1" x14ac:dyDescent="0.2">
      <c r="GE4103" s="84"/>
      <c r="GF4103" s="84"/>
      <c r="GG4103" s="84"/>
      <c r="GH4103" s="84"/>
    </row>
    <row r="4104" spans="187:190" s="2" customFormat="1" ht="18" customHeight="1" x14ac:dyDescent="0.2">
      <c r="GE4104" s="84"/>
      <c r="GF4104" s="84"/>
      <c r="GG4104" s="84"/>
      <c r="GH4104" s="84"/>
    </row>
    <row r="4105" spans="187:190" s="2" customFormat="1" ht="18" customHeight="1" x14ac:dyDescent="0.2">
      <c r="GE4105" s="84"/>
      <c r="GF4105" s="84"/>
      <c r="GG4105" s="84"/>
      <c r="GH4105" s="84"/>
    </row>
    <row r="4106" spans="187:190" s="2" customFormat="1" ht="18" customHeight="1" x14ac:dyDescent="0.2">
      <c r="GE4106" s="84"/>
      <c r="GF4106" s="84"/>
      <c r="GG4106" s="84"/>
      <c r="GH4106" s="84"/>
    </row>
    <row r="4107" spans="187:190" s="2" customFormat="1" ht="18" customHeight="1" x14ac:dyDescent="0.2">
      <c r="GE4107" s="84"/>
      <c r="GF4107" s="84"/>
      <c r="GG4107" s="84"/>
      <c r="GH4107" s="84"/>
    </row>
    <row r="4108" spans="187:190" s="2" customFormat="1" ht="18" customHeight="1" x14ac:dyDescent="0.2">
      <c r="GE4108" s="84"/>
      <c r="GF4108" s="84"/>
      <c r="GG4108" s="84"/>
      <c r="GH4108" s="84"/>
    </row>
    <row r="4109" spans="187:190" s="2" customFormat="1" ht="18" customHeight="1" x14ac:dyDescent="0.2">
      <c r="GE4109" s="84"/>
      <c r="GF4109" s="84"/>
      <c r="GG4109" s="84"/>
      <c r="GH4109" s="84"/>
    </row>
    <row r="4110" spans="187:190" s="2" customFormat="1" ht="18" customHeight="1" x14ac:dyDescent="0.2">
      <c r="GE4110" s="84"/>
      <c r="GF4110" s="84"/>
      <c r="GG4110" s="84"/>
      <c r="GH4110" s="84"/>
    </row>
    <row r="4111" spans="187:190" s="2" customFormat="1" ht="18" customHeight="1" x14ac:dyDescent="0.2">
      <c r="GE4111" s="84"/>
      <c r="GF4111" s="84"/>
      <c r="GG4111" s="84"/>
      <c r="GH4111" s="84"/>
    </row>
    <row r="4112" spans="187:190" s="2" customFormat="1" ht="18" customHeight="1" x14ac:dyDescent="0.2">
      <c r="GE4112" s="84"/>
      <c r="GF4112" s="84"/>
      <c r="GG4112" s="84"/>
      <c r="GH4112" s="84"/>
    </row>
    <row r="4113" spans="187:190" s="2" customFormat="1" ht="18" customHeight="1" x14ac:dyDescent="0.2">
      <c r="GE4113" s="84"/>
      <c r="GF4113" s="84"/>
      <c r="GG4113" s="84"/>
      <c r="GH4113" s="84"/>
    </row>
    <row r="4114" spans="187:190" s="2" customFormat="1" ht="18" customHeight="1" x14ac:dyDescent="0.2">
      <c r="GE4114" s="84"/>
      <c r="GF4114" s="84"/>
      <c r="GG4114" s="84"/>
      <c r="GH4114" s="84"/>
    </row>
    <row r="4115" spans="187:190" s="2" customFormat="1" ht="18" customHeight="1" x14ac:dyDescent="0.2">
      <c r="GE4115" s="84"/>
      <c r="GF4115" s="84"/>
      <c r="GG4115" s="84"/>
      <c r="GH4115" s="84"/>
    </row>
    <row r="4116" spans="187:190" s="2" customFormat="1" ht="18" customHeight="1" x14ac:dyDescent="0.2">
      <c r="GE4116" s="84"/>
      <c r="GF4116" s="84"/>
      <c r="GG4116" s="84"/>
      <c r="GH4116" s="84"/>
    </row>
    <row r="4117" spans="187:190" s="2" customFormat="1" ht="18" customHeight="1" x14ac:dyDescent="0.2">
      <c r="GE4117" s="84"/>
      <c r="GF4117" s="84"/>
      <c r="GG4117" s="84"/>
      <c r="GH4117" s="84"/>
    </row>
    <row r="4118" spans="187:190" s="2" customFormat="1" ht="18" customHeight="1" x14ac:dyDescent="0.2">
      <c r="GE4118" s="84"/>
      <c r="GF4118" s="84"/>
      <c r="GG4118" s="84"/>
      <c r="GH4118" s="84"/>
    </row>
    <row r="4119" spans="187:190" s="2" customFormat="1" ht="18" customHeight="1" x14ac:dyDescent="0.2">
      <c r="GE4119" s="84"/>
      <c r="GF4119" s="84"/>
      <c r="GG4119" s="84"/>
      <c r="GH4119" s="84"/>
    </row>
    <row r="4120" spans="187:190" s="2" customFormat="1" ht="18" customHeight="1" x14ac:dyDescent="0.2">
      <c r="GE4120" s="84"/>
      <c r="GF4120" s="84"/>
      <c r="GG4120" s="84"/>
      <c r="GH4120" s="84"/>
    </row>
    <row r="4121" spans="187:190" s="2" customFormat="1" ht="18" customHeight="1" x14ac:dyDescent="0.2">
      <c r="GE4121" s="84"/>
      <c r="GF4121" s="84"/>
      <c r="GG4121" s="84"/>
      <c r="GH4121" s="84"/>
    </row>
    <row r="4122" spans="187:190" s="2" customFormat="1" ht="18" customHeight="1" x14ac:dyDescent="0.2">
      <c r="GE4122" s="84"/>
      <c r="GF4122" s="84"/>
      <c r="GG4122" s="84"/>
      <c r="GH4122" s="84"/>
    </row>
    <row r="4123" spans="187:190" s="2" customFormat="1" ht="18" customHeight="1" x14ac:dyDescent="0.2">
      <c r="GE4123" s="84"/>
      <c r="GF4123" s="84"/>
      <c r="GG4123" s="84"/>
      <c r="GH4123" s="84"/>
    </row>
    <row r="4124" spans="187:190" s="2" customFormat="1" ht="18" customHeight="1" x14ac:dyDescent="0.2">
      <c r="GE4124" s="84"/>
      <c r="GF4124" s="84"/>
      <c r="GG4124" s="84"/>
      <c r="GH4124" s="84"/>
    </row>
    <row r="4125" spans="187:190" s="2" customFormat="1" ht="18" customHeight="1" x14ac:dyDescent="0.2">
      <c r="GE4125" s="84"/>
      <c r="GF4125" s="84"/>
      <c r="GG4125" s="84"/>
      <c r="GH4125" s="84"/>
    </row>
    <row r="4126" spans="187:190" s="2" customFormat="1" ht="18" customHeight="1" x14ac:dyDescent="0.2">
      <c r="GE4126" s="84"/>
      <c r="GF4126" s="84"/>
      <c r="GG4126" s="84"/>
      <c r="GH4126" s="84"/>
    </row>
    <row r="4127" spans="187:190" s="2" customFormat="1" ht="18" customHeight="1" x14ac:dyDescent="0.2">
      <c r="GE4127" s="84"/>
      <c r="GF4127" s="84"/>
      <c r="GG4127" s="84"/>
      <c r="GH4127" s="84"/>
    </row>
    <row r="4128" spans="187:190" s="2" customFormat="1" ht="18" customHeight="1" x14ac:dyDescent="0.2">
      <c r="GE4128" s="84"/>
      <c r="GF4128" s="84"/>
      <c r="GG4128" s="84"/>
      <c r="GH4128" s="84"/>
    </row>
    <row r="4129" spans="187:190" s="2" customFormat="1" ht="18" customHeight="1" x14ac:dyDescent="0.2">
      <c r="GE4129" s="84"/>
      <c r="GF4129" s="84"/>
      <c r="GG4129" s="84"/>
      <c r="GH4129" s="84"/>
    </row>
    <row r="4130" spans="187:190" s="2" customFormat="1" ht="18" customHeight="1" x14ac:dyDescent="0.2">
      <c r="GE4130" s="84"/>
      <c r="GF4130" s="84"/>
      <c r="GG4130" s="84"/>
      <c r="GH4130" s="84"/>
    </row>
    <row r="4131" spans="187:190" s="2" customFormat="1" ht="18" customHeight="1" x14ac:dyDescent="0.2">
      <c r="GE4131" s="84"/>
      <c r="GF4131" s="84"/>
      <c r="GG4131" s="84"/>
      <c r="GH4131" s="84"/>
    </row>
    <row r="4132" spans="187:190" s="2" customFormat="1" ht="18" customHeight="1" x14ac:dyDescent="0.2">
      <c r="GE4132" s="84"/>
      <c r="GF4132" s="84"/>
      <c r="GG4132" s="84"/>
      <c r="GH4132" s="84"/>
    </row>
    <row r="4133" spans="187:190" s="2" customFormat="1" ht="18" customHeight="1" x14ac:dyDescent="0.2">
      <c r="GE4133" s="84"/>
      <c r="GF4133" s="84"/>
      <c r="GG4133" s="84"/>
      <c r="GH4133" s="84"/>
    </row>
    <row r="4134" spans="187:190" s="2" customFormat="1" ht="18" customHeight="1" x14ac:dyDescent="0.2">
      <c r="GE4134" s="84"/>
      <c r="GF4134" s="84"/>
      <c r="GG4134" s="84"/>
      <c r="GH4134" s="84"/>
    </row>
    <row r="4135" spans="187:190" s="2" customFormat="1" ht="18" customHeight="1" x14ac:dyDescent="0.2">
      <c r="GE4135" s="84"/>
      <c r="GF4135" s="84"/>
      <c r="GG4135" s="84"/>
      <c r="GH4135" s="84"/>
    </row>
    <row r="4136" spans="187:190" s="2" customFormat="1" ht="18" customHeight="1" x14ac:dyDescent="0.2">
      <c r="GE4136" s="84"/>
      <c r="GF4136" s="84"/>
      <c r="GG4136" s="84"/>
      <c r="GH4136" s="84"/>
    </row>
    <row r="4137" spans="187:190" s="2" customFormat="1" ht="18" customHeight="1" x14ac:dyDescent="0.2">
      <c r="GE4137" s="84"/>
      <c r="GF4137" s="84"/>
      <c r="GG4137" s="84"/>
      <c r="GH4137" s="84"/>
    </row>
    <row r="4138" spans="187:190" s="2" customFormat="1" ht="18" customHeight="1" x14ac:dyDescent="0.2">
      <c r="GE4138" s="84"/>
      <c r="GF4138" s="84"/>
      <c r="GG4138" s="84"/>
      <c r="GH4138" s="84"/>
    </row>
    <row r="4139" spans="187:190" s="2" customFormat="1" ht="18" customHeight="1" x14ac:dyDescent="0.2">
      <c r="GE4139" s="84"/>
      <c r="GF4139" s="84"/>
      <c r="GG4139" s="84"/>
      <c r="GH4139" s="84"/>
    </row>
    <row r="4140" spans="187:190" s="2" customFormat="1" ht="18" customHeight="1" x14ac:dyDescent="0.2">
      <c r="GE4140" s="84"/>
      <c r="GF4140" s="84"/>
      <c r="GG4140" s="84"/>
      <c r="GH4140" s="84"/>
    </row>
    <row r="4141" spans="187:190" s="2" customFormat="1" ht="18" customHeight="1" x14ac:dyDescent="0.2">
      <c r="GE4141" s="84"/>
      <c r="GF4141" s="84"/>
      <c r="GG4141" s="84"/>
      <c r="GH4141" s="84"/>
    </row>
    <row r="4142" spans="187:190" s="2" customFormat="1" ht="18" customHeight="1" x14ac:dyDescent="0.2">
      <c r="GE4142" s="84"/>
      <c r="GF4142" s="84"/>
      <c r="GG4142" s="84"/>
      <c r="GH4142" s="84"/>
    </row>
    <row r="4143" spans="187:190" s="2" customFormat="1" ht="18" customHeight="1" x14ac:dyDescent="0.2">
      <c r="GE4143" s="84"/>
      <c r="GF4143" s="84"/>
      <c r="GG4143" s="84"/>
      <c r="GH4143" s="84"/>
    </row>
    <row r="4144" spans="187:190" s="2" customFormat="1" ht="18" customHeight="1" x14ac:dyDescent="0.2">
      <c r="GE4144" s="84"/>
      <c r="GF4144" s="84"/>
      <c r="GG4144" s="84"/>
      <c r="GH4144" s="84"/>
    </row>
    <row r="4145" spans="187:190" s="2" customFormat="1" ht="18" customHeight="1" x14ac:dyDescent="0.2">
      <c r="GE4145" s="84"/>
      <c r="GF4145" s="84"/>
      <c r="GG4145" s="84"/>
      <c r="GH4145" s="84"/>
    </row>
    <row r="4146" spans="187:190" s="2" customFormat="1" ht="18" customHeight="1" x14ac:dyDescent="0.2">
      <c r="GE4146" s="84"/>
      <c r="GF4146" s="84"/>
      <c r="GG4146" s="84"/>
      <c r="GH4146" s="84"/>
    </row>
    <row r="4147" spans="187:190" s="2" customFormat="1" ht="18" customHeight="1" x14ac:dyDescent="0.2">
      <c r="GE4147" s="84"/>
      <c r="GF4147" s="84"/>
      <c r="GG4147" s="84"/>
      <c r="GH4147" s="84"/>
    </row>
    <row r="4148" spans="187:190" s="2" customFormat="1" ht="18" customHeight="1" x14ac:dyDescent="0.2">
      <c r="GE4148" s="84"/>
      <c r="GF4148" s="84"/>
      <c r="GG4148" s="84"/>
      <c r="GH4148" s="84"/>
    </row>
    <row r="4149" spans="187:190" s="2" customFormat="1" ht="18" customHeight="1" x14ac:dyDescent="0.2">
      <c r="GE4149" s="84"/>
      <c r="GF4149" s="84"/>
      <c r="GG4149" s="84"/>
      <c r="GH4149" s="84"/>
    </row>
    <row r="4150" spans="187:190" s="2" customFormat="1" ht="18" customHeight="1" x14ac:dyDescent="0.2">
      <c r="GE4150" s="84"/>
      <c r="GF4150" s="84"/>
      <c r="GG4150" s="84"/>
      <c r="GH4150" s="84"/>
    </row>
    <row r="4151" spans="187:190" s="2" customFormat="1" ht="18" customHeight="1" x14ac:dyDescent="0.2">
      <c r="GE4151" s="84"/>
      <c r="GF4151" s="84"/>
      <c r="GG4151" s="84"/>
      <c r="GH4151" s="84"/>
    </row>
    <row r="4152" spans="187:190" s="2" customFormat="1" ht="18" customHeight="1" x14ac:dyDescent="0.2">
      <c r="GE4152" s="84"/>
      <c r="GF4152" s="84"/>
      <c r="GG4152" s="84"/>
      <c r="GH4152" s="84"/>
    </row>
    <row r="4153" spans="187:190" s="2" customFormat="1" ht="18" customHeight="1" x14ac:dyDescent="0.2">
      <c r="GE4153" s="84"/>
      <c r="GF4153" s="84"/>
      <c r="GG4153" s="84"/>
      <c r="GH4153" s="84"/>
    </row>
    <row r="4154" spans="187:190" s="2" customFormat="1" ht="18" customHeight="1" x14ac:dyDescent="0.2">
      <c r="GE4154" s="84"/>
      <c r="GF4154" s="84"/>
      <c r="GG4154" s="84"/>
      <c r="GH4154" s="84"/>
    </row>
    <row r="4155" spans="187:190" s="2" customFormat="1" ht="18" customHeight="1" x14ac:dyDescent="0.2">
      <c r="GE4155" s="84"/>
      <c r="GF4155" s="84"/>
      <c r="GG4155" s="84"/>
      <c r="GH4155" s="84"/>
    </row>
    <row r="4156" spans="187:190" s="2" customFormat="1" ht="18" customHeight="1" x14ac:dyDescent="0.2">
      <c r="GE4156" s="84"/>
      <c r="GF4156" s="84"/>
      <c r="GG4156" s="84"/>
      <c r="GH4156" s="84"/>
    </row>
    <row r="4157" spans="187:190" s="2" customFormat="1" ht="18" customHeight="1" x14ac:dyDescent="0.2">
      <c r="GE4157" s="84"/>
      <c r="GF4157" s="84"/>
      <c r="GG4157" s="84"/>
      <c r="GH4157" s="84"/>
    </row>
    <row r="4158" spans="187:190" s="2" customFormat="1" ht="18" customHeight="1" x14ac:dyDescent="0.2">
      <c r="GE4158" s="84"/>
      <c r="GF4158" s="84"/>
      <c r="GG4158" s="84"/>
      <c r="GH4158" s="84"/>
    </row>
    <row r="4159" spans="187:190" s="2" customFormat="1" ht="18" customHeight="1" x14ac:dyDescent="0.2">
      <c r="GE4159" s="84"/>
      <c r="GF4159" s="84"/>
      <c r="GG4159" s="84"/>
      <c r="GH4159" s="84"/>
    </row>
    <row r="4160" spans="187:190" s="2" customFormat="1" ht="18" customHeight="1" x14ac:dyDescent="0.2">
      <c r="GE4160" s="84"/>
      <c r="GF4160" s="84"/>
      <c r="GG4160" s="84"/>
      <c r="GH4160" s="84"/>
    </row>
    <row r="4161" spans="187:190" s="2" customFormat="1" ht="18" customHeight="1" x14ac:dyDescent="0.2">
      <c r="GE4161" s="84"/>
      <c r="GF4161" s="84"/>
      <c r="GG4161" s="84"/>
      <c r="GH4161" s="84"/>
    </row>
    <row r="4162" spans="187:190" s="2" customFormat="1" ht="18" customHeight="1" x14ac:dyDescent="0.2">
      <c r="GE4162" s="84"/>
      <c r="GF4162" s="84"/>
      <c r="GG4162" s="84"/>
      <c r="GH4162" s="84"/>
    </row>
    <row r="4163" spans="187:190" s="2" customFormat="1" ht="18" customHeight="1" x14ac:dyDescent="0.2">
      <c r="GE4163" s="84"/>
      <c r="GF4163" s="84"/>
      <c r="GG4163" s="84"/>
      <c r="GH4163" s="84"/>
    </row>
    <row r="4164" spans="187:190" s="2" customFormat="1" ht="18" customHeight="1" x14ac:dyDescent="0.2">
      <c r="GE4164" s="84"/>
      <c r="GF4164" s="84"/>
      <c r="GG4164" s="84"/>
      <c r="GH4164" s="84"/>
    </row>
    <row r="4165" spans="187:190" s="2" customFormat="1" ht="18" customHeight="1" x14ac:dyDescent="0.2">
      <c r="GE4165" s="84"/>
      <c r="GF4165" s="84"/>
      <c r="GG4165" s="84"/>
      <c r="GH4165" s="84"/>
    </row>
    <row r="4166" spans="187:190" s="2" customFormat="1" ht="18" customHeight="1" x14ac:dyDescent="0.2">
      <c r="GE4166" s="84"/>
      <c r="GF4166" s="84"/>
      <c r="GG4166" s="84"/>
      <c r="GH4166" s="84"/>
    </row>
    <row r="4167" spans="187:190" s="2" customFormat="1" ht="18" customHeight="1" x14ac:dyDescent="0.2">
      <c r="GE4167" s="84"/>
      <c r="GF4167" s="84"/>
      <c r="GG4167" s="84"/>
      <c r="GH4167" s="84"/>
    </row>
    <row r="4168" spans="187:190" s="2" customFormat="1" ht="18" customHeight="1" x14ac:dyDescent="0.2">
      <c r="GE4168" s="84"/>
      <c r="GF4168" s="84"/>
      <c r="GG4168" s="84"/>
      <c r="GH4168" s="84"/>
    </row>
    <row r="4169" spans="187:190" s="2" customFormat="1" ht="18" customHeight="1" x14ac:dyDescent="0.2">
      <c r="GE4169" s="84"/>
      <c r="GF4169" s="84"/>
      <c r="GG4169" s="84"/>
      <c r="GH4169" s="84"/>
    </row>
    <row r="4170" spans="187:190" s="2" customFormat="1" ht="18" customHeight="1" x14ac:dyDescent="0.2">
      <c r="GE4170" s="84"/>
      <c r="GF4170" s="84"/>
      <c r="GG4170" s="84"/>
      <c r="GH4170" s="84"/>
    </row>
    <row r="4171" spans="187:190" s="2" customFormat="1" ht="18" customHeight="1" x14ac:dyDescent="0.2">
      <c r="GE4171" s="84"/>
      <c r="GF4171" s="84"/>
      <c r="GG4171" s="84"/>
      <c r="GH4171" s="84"/>
    </row>
    <row r="4172" spans="187:190" s="2" customFormat="1" ht="18" customHeight="1" x14ac:dyDescent="0.2">
      <c r="GE4172" s="84"/>
      <c r="GF4172" s="84"/>
      <c r="GG4172" s="84"/>
      <c r="GH4172" s="84"/>
    </row>
    <row r="4173" spans="187:190" s="2" customFormat="1" ht="18" customHeight="1" x14ac:dyDescent="0.2">
      <c r="GE4173" s="84"/>
      <c r="GF4173" s="84"/>
      <c r="GG4173" s="84"/>
      <c r="GH4173" s="84"/>
    </row>
    <row r="4174" spans="187:190" s="2" customFormat="1" ht="18" customHeight="1" x14ac:dyDescent="0.2">
      <c r="GE4174" s="84"/>
      <c r="GF4174" s="84"/>
      <c r="GG4174" s="84"/>
      <c r="GH4174" s="84"/>
    </row>
    <row r="4175" spans="187:190" s="2" customFormat="1" ht="18" customHeight="1" x14ac:dyDescent="0.2">
      <c r="GE4175" s="84"/>
      <c r="GF4175" s="84"/>
      <c r="GG4175" s="84"/>
      <c r="GH4175" s="84"/>
    </row>
    <row r="4176" spans="187:190" s="2" customFormat="1" ht="18" customHeight="1" x14ac:dyDescent="0.2">
      <c r="GE4176" s="84"/>
      <c r="GF4176" s="84"/>
      <c r="GG4176" s="84"/>
      <c r="GH4176" s="84"/>
    </row>
    <row r="4177" spans="187:190" s="2" customFormat="1" ht="18" customHeight="1" x14ac:dyDescent="0.2">
      <c r="GE4177" s="84"/>
      <c r="GF4177" s="84"/>
      <c r="GG4177" s="84"/>
      <c r="GH4177" s="84"/>
    </row>
    <row r="4178" spans="187:190" s="2" customFormat="1" ht="18" customHeight="1" x14ac:dyDescent="0.2">
      <c r="GE4178" s="84"/>
      <c r="GF4178" s="84"/>
      <c r="GG4178" s="84"/>
      <c r="GH4178" s="84"/>
    </row>
    <row r="4179" spans="187:190" s="2" customFormat="1" ht="18" customHeight="1" x14ac:dyDescent="0.2">
      <c r="GE4179" s="84"/>
      <c r="GF4179" s="84"/>
      <c r="GG4179" s="84"/>
      <c r="GH4179" s="84"/>
    </row>
    <row r="4180" spans="187:190" s="2" customFormat="1" ht="18" customHeight="1" x14ac:dyDescent="0.2">
      <c r="GE4180" s="84"/>
      <c r="GF4180" s="84"/>
      <c r="GG4180" s="84"/>
      <c r="GH4180" s="84"/>
    </row>
    <row r="4181" spans="187:190" s="2" customFormat="1" ht="18" customHeight="1" x14ac:dyDescent="0.2">
      <c r="GE4181" s="84"/>
      <c r="GF4181" s="84"/>
      <c r="GG4181" s="84"/>
      <c r="GH4181" s="84"/>
    </row>
    <row r="4182" spans="187:190" s="2" customFormat="1" ht="18" customHeight="1" x14ac:dyDescent="0.2">
      <c r="GE4182" s="84"/>
      <c r="GF4182" s="84"/>
      <c r="GG4182" s="84"/>
      <c r="GH4182" s="84"/>
    </row>
    <row r="4183" spans="187:190" s="2" customFormat="1" ht="18" customHeight="1" x14ac:dyDescent="0.2">
      <c r="GE4183" s="84"/>
      <c r="GF4183" s="84"/>
      <c r="GG4183" s="84"/>
      <c r="GH4183" s="84"/>
    </row>
    <row r="4184" spans="187:190" s="2" customFormat="1" ht="18" customHeight="1" x14ac:dyDescent="0.2">
      <c r="GE4184" s="84"/>
      <c r="GF4184" s="84"/>
      <c r="GG4184" s="84"/>
      <c r="GH4184" s="84"/>
    </row>
    <row r="4185" spans="187:190" s="2" customFormat="1" ht="18" customHeight="1" x14ac:dyDescent="0.2">
      <c r="GE4185" s="84"/>
      <c r="GF4185" s="84"/>
      <c r="GG4185" s="84"/>
      <c r="GH4185" s="84"/>
    </row>
    <row r="4186" spans="187:190" s="2" customFormat="1" ht="18" customHeight="1" x14ac:dyDescent="0.2">
      <c r="GE4186" s="84"/>
      <c r="GF4186" s="84"/>
      <c r="GG4186" s="84"/>
      <c r="GH4186" s="84"/>
    </row>
    <row r="4187" spans="187:190" s="2" customFormat="1" ht="18" customHeight="1" x14ac:dyDescent="0.2">
      <c r="GE4187" s="84"/>
      <c r="GF4187" s="84"/>
      <c r="GG4187" s="84"/>
      <c r="GH4187" s="84"/>
    </row>
    <row r="4188" spans="187:190" s="2" customFormat="1" ht="18" customHeight="1" x14ac:dyDescent="0.2">
      <c r="GE4188" s="84"/>
      <c r="GF4188" s="84"/>
      <c r="GG4188" s="84"/>
      <c r="GH4188" s="84"/>
    </row>
    <row r="4189" spans="187:190" s="2" customFormat="1" ht="18" customHeight="1" x14ac:dyDescent="0.2">
      <c r="GE4189" s="84"/>
      <c r="GF4189" s="84"/>
      <c r="GG4189" s="84"/>
      <c r="GH4189" s="84"/>
    </row>
    <row r="4190" spans="187:190" s="2" customFormat="1" ht="18" customHeight="1" x14ac:dyDescent="0.2">
      <c r="GE4190" s="84"/>
      <c r="GF4190" s="84"/>
      <c r="GG4190" s="84"/>
      <c r="GH4190" s="84"/>
    </row>
    <row r="4191" spans="187:190" s="2" customFormat="1" ht="18" customHeight="1" x14ac:dyDescent="0.2">
      <c r="GE4191" s="84"/>
      <c r="GF4191" s="84"/>
      <c r="GG4191" s="84"/>
      <c r="GH4191" s="84"/>
    </row>
    <row r="4192" spans="187:190" s="2" customFormat="1" ht="18" customHeight="1" x14ac:dyDescent="0.2">
      <c r="GE4192" s="84"/>
      <c r="GF4192" s="84"/>
      <c r="GG4192" s="84"/>
      <c r="GH4192" s="84"/>
    </row>
    <row r="4193" spans="187:190" s="2" customFormat="1" ht="18" customHeight="1" x14ac:dyDescent="0.2">
      <c r="GE4193" s="84"/>
      <c r="GF4193" s="84"/>
      <c r="GG4193" s="84"/>
      <c r="GH4193" s="84"/>
    </row>
    <row r="4194" spans="187:190" s="2" customFormat="1" ht="18" customHeight="1" x14ac:dyDescent="0.2">
      <c r="GE4194" s="84"/>
      <c r="GF4194" s="84"/>
      <c r="GG4194" s="84"/>
      <c r="GH4194" s="84"/>
    </row>
    <row r="4195" spans="187:190" s="2" customFormat="1" ht="18" customHeight="1" x14ac:dyDescent="0.2">
      <c r="GE4195" s="84"/>
      <c r="GF4195" s="84"/>
      <c r="GG4195" s="84"/>
      <c r="GH4195" s="84"/>
    </row>
    <row r="4196" spans="187:190" s="2" customFormat="1" ht="18" customHeight="1" x14ac:dyDescent="0.2">
      <c r="GE4196" s="84"/>
      <c r="GF4196" s="84"/>
      <c r="GG4196" s="84"/>
      <c r="GH4196" s="84"/>
    </row>
    <row r="4197" spans="187:190" s="2" customFormat="1" ht="18" customHeight="1" x14ac:dyDescent="0.2">
      <c r="GE4197" s="84"/>
      <c r="GF4197" s="84"/>
      <c r="GG4197" s="84"/>
      <c r="GH4197" s="84"/>
    </row>
    <row r="4198" spans="187:190" s="2" customFormat="1" ht="18" customHeight="1" x14ac:dyDescent="0.2">
      <c r="GE4198" s="84"/>
      <c r="GF4198" s="84"/>
      <c r="GG4198" s="84"/>
      <c r="GH4198" s="84"/>
    </row>
    <row r="4199" spans="187:190" s="2" customFormat="1" ht="18" customHeight="1" x14ac:dyDescent="0.2">
      <c r="GE4199" s="84"/>
      <c r="GF4199" s="84"/>
      <c r="GG4199" s="84"/>
      <c r="GH4199" s="84"/>
    </row>
    <row r="4200" spans="187:190" s="2" customFormat="1" ht="18" customHeight="1" x14ac:dyDescent="0.2">
      <c r="GE4200" s="84"/>
      <c r="GF4200" s="84"/>
      <c r="GG4200" s="84"/>
      <c r="GH4200" s="84"/>
    </row>
    <row r="4201" spans="187:190" s="2" customFormat="1" ht="18" customHeight="1" x14ac:dyDescent="0.2">
      <c r="GE4201" s="84"/>
      <c r="GF4201" s="84"/>
      <c r="GG4201" s="84"/>
      <c r="GH4201" s="84"/>
    </row>
    <row r="4202" spans="187:190" s="2" customFormat="1" ht="18" customHeight="1" x14ac:dyDescent="0.2">
      <c r="GE4202" s="84"/>
      <c r="GF4202" s="84"/>
      <c r="GG4202" s="84"/>
      <c r="GH4202" s="84"/>
    </row>
    <row r="4203" spans="187:190" s="2" customFormat="1" ht="18" customHeight="1" x14ac:dyDescent="0.2">
      <c r="GE4203" s="84"/>
      <c r="GF4203" s="84"/>
      <c r="GG4203" s="84"/>
      <c r="GH4203" s="84"/>
    </row>
    <row r="4204" spans="187:190" s="2" customFormat="1" ht="18" customHeight="1" x14ac:dyDescent="0.2">
      <c r="GE4204" s="84"/>
      <c r="GF4204" s="84"/>
      <c r="GG4204" s="84"/>
      <c r="GH4204" s="84"/>
    </row>
    <row r="4205" spans="187:190" s="2" customFormat="1" ht="18" customHeight="1" x14ac:dyDescent="0.2">
      <c r="GE4205" s="84"/>
      <c r="GF4205" s="84"/>
      <c r="GG4205" s="84"/>
      <c r="GH4205" s="84"/>
    </row>
    <row r="4206" spans="187:190" s="2" customFormat="1" ht="18" customHeight="1" x14ac:dyDescent="0.2">
      <c r="GE4206" s="84"/>
      <c r="GF4206" s="84"/>
      <c r="GG4206" s="84"/>
      <c r="GH4206" s="84"/>
    </row>
    <row r="4207" spans="187:190" s="2" customFormat="1" ht="18" customHeight="1" x14ac:dyDescent="0.2">
      <c r="GE4207" s="84"/>
      <c r="GF4207" s="84"/>
      <c r="GG4207" s="84"/>
      <c r="GH4207" s="84"/>
    </row>
    <row r="4208" spans="187:190" s="2" customFormat="1" ht="18" customHeight="1" x14ac:dyDescent="0.2">
      <c r="GE4208" s="84"/>
      <c r="GF4208" s="84"/>
      <c r="GG4208" s="84"/>
      <c r="GH4208" s="84"/>
    </row>
    <row r="4209" spans="187:190" s="2" customFormat="1" ht="18" customHeight="1" x14ac:dyDescent="0.2">
      <c r="GE4209" s="84"/>
      <c r="GF4209" s="84"/>
      <c r="GG4209" s="84"/>
      <c r="GH4209" s="84"/>
    </row>
    <row r="4210" spans="187:190" s="2" customFormat="1" ht="18" customHeight="1" x14ac:dyDescent="0.2">
      <c r="GE4210" s="84"/>
      <c r="GF4210" s="84"/>
      <c r="GG4210" s="84"/>
      <c r="GH4210" s="84"/>
    </row>
    <row r="4211" spans="187:190" s="2" customFormat="1" ht="18" customHeight="1" x14ac:dyDescent="0.2">
      <c r="GE4211" s="84"/>
      <c r="GF4211" s="84"/>
      <c r="GG4211" s="84"/>
      <c r="GH4211" s="84"/>
    </row>
    <row r="4212" spans="187:190" s="2" customFormat="1" ht="18" customHeight="1" x14ac:dyDescent="0.2">
      <c r="GE4212" s="84"/>
      <c r="GF4212" s="84"/>
      <c r="GG4212" s="84"/>
      <c r="GH4212" s="84"/>
    </row>
    <row r="4213" spans="187:190" s="2" customFormat="1" ht="18" customHeight="1" x14ac:dyDescent="0.2">
      <c r="GE4213" s="84"/>
      <c r="GF4213" s="84"/>
      <c r="GG4213" s="84"/>
      <c r="GH4213" s="84"/>
    </row>
    <row r="4214" spans="187:190" s="2" customFormat="1" ht="18" customHeight="1" x14ac:dyDescent="0.2">
      <c r="GE4214" s="84"/>
      <c r="GF4214" s="84"/>
      <c r="GG4214" s="84"/>
      <c r="GH4214" s="84"/>
    </row>
    <row r="4215" spans="187:190" s="2" customFormat="1" ht="18" customHeight="1" x14ac:dyDescent="0.2">
      <c r="GE4215" s="84"/>
      <c r="GF4215" s="84"/>
      <c r="GG4215" s="84"/>
      <c r="GH4215" s="84"/>
    </row>
    <row r="4216" spans="187:190" s="2" customFormat="1" ht="18" customHeight="1" x14ac:dyDescent="0.2">
      <c r="GE4216" s="84"/>
      <c r="GF4216" s="84"/>
      <c r="GG4216" s="84"/>
      <c r="GH4216" s="84"/>
    </row>
    <row r="4217" spans="187:190" s="2" customFormat="1" ht="18" customHeight="1" x14ac:dyDescent="0.2">
      <c r="GE4217" s="84"/>
      <c r="GF4217" s="84"/>
      <c r="GG4217" s="84"/>
      <c r="GH4217" s="84"/>
    </row>
    <row r="4218" spans="187:190" s="2" customFormat="1" ht="18" customHeight="1" x14ac:dyDescent="0.2">
      <c r="GE4218" s="84"/>
      <c r="GF4218" s="84"/>
      <c r="GG4218" s="84"/>
      <c r="GH4218" s="84"/>
    </row>
    <row r="4219" spans="187:190" s="2" customFormat="1" ht="18" customHeight="1" x14ac:dyDescent="0.2">
      <c r="GE4219" s="84"/>
      <c r="GF4219" s="84"/>
      <c r="GG4219" s="84"/>
      <c r="GH4219" s="84"/>
    </row>
    <row r="4220" spans="187:190" s="2" customFormat="1" ht="18" customHeight="1" x14ac:dyDescent="0.2">
      <c r="GE4220" s="84"/>
      <c r="GF4220" s="84"/>
      <c r="GG4220" s="84"/>
      <c r="GH4220" s="84"/>
    </row>
    <row r="4221" spans="187:190" s="2" customFormat="1" ht="18" customHeight="1" x14ac:dyDescent="0.2">
      <c r="GE4221" s="84"/>
      <c r="GF4221" s="84"/>
      <c r="GG4221" s="84"/>
      <c r="GH4221" s="84"/>
    </row>
    <row r="4222" spans="187:190" s="2" customFormat="1" ht="18" customHeight="1" x14ac:dyDescent="0.2">
      <c r="GE4222" s="84"/>
      <c r="GF4222" s="84"/>
      <c r="GG4222" s="84"/>
      <c r="GH4222" s="84"/>
    </row>
    <row r="4223" spans="187:190" s="2" customFormat="1" ht="18" customHeight="1" x14ac:dyDescent="0.2">
      <c r="GE4223" s="84"/>
      <c r="GF4223" s="84"/>
      <c r="GG4223" s="84"/>
      <c r="GH4223" s="84"/>
    </row>
    <row r="4224" spans="187:190" s="2" customFormat="1" ht="18" customHeight="1" x14ac:dyDescent="0.2">
      <c r="GE4224" s="84"/>
      <c r="GF4224" s="84"/>
      <c r="GG4224" s="84"/>
      <c r="GH4224" s="84"/>
    </row>
    <row r="4225" spans="187:190" s="2" customFormat="1" ht="18" customHeight="1" x14ac:dyDescent="0.2">
      <c r="GE4225" s="84"/>
      <c r="GF4225" s="84"/>
      <c r="GG4225" s="84"/>
      <c r="GH4225" s="84"/>
    </row>
    <row r="4226" spans="187:190" s="2" customFormat="1" ht="18" customHeight="1" x14ac:dyDescent="0.2">
      <c r="GE4226" s="84"/>
      <c r="GF4226" s="84"/>
      <c r="GG4226" s="84"/>
      <c r="GH4226" s="84"/>
    </row>
    <row r="4227" spans="187:190" s="2" customFormat="1" ht="18" customHeight="1" x14ac:dyDescent="0.2">
      <c r="GE4227" s="84"/>
      <c r="GF4227" s="84"/>
      <c r="GG4227" s="84"/>
      <c r="GH4227" s="84"/>
    </row>
    <row r="4228" spans="187:190" s="2" customFormat="1" ht="18" customHeight="1" x14ac:dyDescent="0.2">
      <c r="GE4228" s="84"/>
      <c r="GF4228" s="84"/>
      <c r="GG4228" s="84"/>
      <c r="GH4228" s="84"/>
    </row>
    <row r="4229" spans="187:190" s="2" customFormat="1" ht="18" customHeight="1" x14ac:dyDescent="0.2">
      <c r="GE4229" s="84"/>
      <c r="GF4229" s="84"/>
      <c r="GG4229" s="84"/>
      <c r="GH4229" s="84"/>
    </row>
    <row r="4230" spans="187:190" s="2" customFormat="1" ht="18" customHeight="1" x14ac:dyDescent="0.2">
      <c r="GE4230" s="84"/>
      <c r="GF4230" s="84"/>
      <c r="GG4230" s="84"/>
      <c r="GH4230" s="84"/>
    </row>
    <row r="4231" spans="187:190" s="2" customFormat="1" ht="18" customHeight="1" x14ac:dyDescent="0.2">
      <c r="GE4231" s="84"/>
      <c r="GF4231" s="84"/>
      <c r="GG4231" s="84"/>
      <c r="GH4231" s="84"/>
    </row>
    <row r="4232" spans="187:190" s="2" customFormat="1" ht="18" customHeight="1" x14ac:dyDescent="0.2">
      <c r="GE4232" s="84"/>
      <c r="GF4232" s="84"/>
      <c r="GG4232" s="84"/>
      <c r="GH4232" s="84"/>
    </row>
    <row r="4233" spans="187:190" s="2" customFormat="1" ht="18" customHeight="1" x14ac:dyDescent="0.2">
      <c r="GE4233" s="84"/>
      <c r="GF4233" s="84"/>
      <c r="GG4233" s="84"/>
      <c r="GH4233" s="84"/>
    </row>
    <row r="4234" spans="187:190" s="2" customFormat="1" ht="18" customHeight="1" x14ac:dyDescent="0.2">
      <c r="GE4234" s="84"/>
      <c r="GF4234" s="84"/>
      <c r="GG4234" s="84"/>
      <c r="GH4234" s="84"/>
    </row>
    <row r="4235" spans="187:190" s="2" customFormat="1" ht="18" customHeight="1" x14ac:dyDescent="0.2">
      <c r="GE4235" s="84"/>
      <c r="GF4235" s="84"/>
      <c r="GG4235" s="84"/>
      <c r="GH4235" s="84"/>
    </row>
    <row r="4236" spans="187:190" s="2" customFormat="1" ht="18" customHeight="1" x14ac:dyDescent="0.2">
      <c r="GE4236" s="84"/>
      <c r="GF4236" s="84"/>
      <c r="GG4236" s="84"/>
      <c r="GH4236" s="84"/>
    </row>
    <row r="4237" spans="187:190" s="2" customFormat="1" ht="18" customHeight="1" x14ac:dyDescent="0.2">
      <c r="GE4237" s="84"/>
      <c r="GF4237" s="84"/>
      <c r="GG4237" s="84"/>
      <c r="GH4237" s="84"/>
    </row>
    <row r="4238" spans="187:190" s="2" customFormat="1" ht="18" customHeight="1" x14ac:dyDescent="0.2">
      <c r="GE4238" s="84"/>
      <c r="GF4238" s="84"/>
      <c r="GG4238" s="84"/>
      <c r="GH4238" s="84"/>
    </row>
    <row r="4239" spans="187:190" s="2" customFormat="1" ht="18" customHeight="1" x14ac:dyDescent="0.2">
      <c r="GE4239" s="84"/>
      <c r="GF4239" s="84"/>
      <c r="GG4239" s="84"/>
      <c r="GH4239" s="84"/>
    </row>
    <row r="4240" spans="187:190" s="2" customFormat="1" ht="18" customHeight="1" x14ac:dyDescent="0.2">
      <c r="GE4240" s="84"/>
      <c r="GF4240" s="84"/>
      <c r="GG4240" s="84"/>
      <c r="GH4240" s="84"/>
    </row>
    <row r="4241" spans="187:190" s="2" customFormat="1" ht="18" customHeight="1" x14ac:dyDescent="0.2">
      <c r="GE4241" s="84"/>
      <c r="GF4241" s="84"/>
      <c r="GG4241" s="84"/>
      <c r="GH4241" s="84"/>
    </row>
    <row r="4242" spans="187:190" s="2" customFormat="1" ht="18" customHeight="1" x14ac:dyDescent="0.2">
      <c r="GE4242" s="84"/>
      <c r="GF4242" s="84"/>
      <c r="GG4242" s="84"/>
      <c r="GH4242" s="84"/>
    </row>
    <row r="4243" spans="187:190" s="2" customFormat="1" ht="18" customHeight="1" x14ac:dyDescent="0.2">
      <c r="GE4243" s="84"/>
      <c r="GF4243" s="84"/>
      <c r="GG4243" s="84"/>
      <c r="GH4243" s="84"/>
    </row>
    <row r="4244" spans="187:190" s="2" customFormat="1" ht="18" customHeight="1" x14ac:dyDescent="0.2">
      <c r="GE4244" s="84"/>
      <c r="GF4244" s="84"/>
      <c r="GG4244" s="84"/>
      <c r="GH4244" s="84"/>
    </row>
    <row r="4245" spans="187:190" s="2" customFormat="1" ht="18" customHeight="1" x14ac:dyDescent="0.2">
      <c r="GE4245" s="84"/>
      <c r="GF4245" s="84"/>
      <c r="GG4245" s="84"/>
      <c r="GH4245" s="84"/>
    </row>
    <row r="4246" spans="187:190" s="2" customFormat="1" ht="18" customHeight="1" x14ac:dyDescent="0.2">
      <c r="GE4246" s="84"/>
      <c r="GF4246" s="84"/>
      <c r="GG4246" s="84"/>
      <c r="GH4246" s="84"/>
    </row>
    <row r="4247" spans="187:190" s="2" customFormat="1" ht="18" customHeight="1" x14ac:dyDescent="0.2">
      <c r="GE4247" s="84"/>
      <c r="GF4247" s="84"/>
      <c r="GG4247" s="84"/>
      <c r="GH4247" s="84"/>
    </row>
    <row r="4248" spans="187:190" s="2" customFormat="1" ht="18" customHeight="1" x14ac:dyDescent="0.2">
      <c r="GE4248" s="84"/>
      <c r="GF4248" s="84"/>
      <c r="GG4248" s="84"/>
      <c r="GH4248" s="84"/>
    </row>
    <row r="4249" spans="187:190" s="2" customFormat="1" ht="18" customHeight="1" x14ac:dyDescent="0.2">
      <c r="GE4249" s="84"/>
      <c r="GF4249" s="84"/>
      <c r="GG4249" s="84"/>
      <c r="GH4249" s="84"/>
    </row>
    <row r="4250" spans="187:190" s="2" customFormat="1" ht="18" customHeight="1" x14ac:dyDescent="0.2">
      <c r="GE4250" s="84"/>
      <c r="GF4250" s="84"/>
      <c r="GG4250" s="84"/>
      <c r="GH4250" s="84"/>
    </row>
    <row r="4251" spans="187:190" s="2" customFormat="1" ht="18" customHeight="1" x14ac:dyDescent="0.2">
      <c r="GE4251" s="84"/>
      <c r="GF4251" s="84"/>
      <c r="GG4251" s="84"/>
      <c r="GH4251" s="84"/>
    </row>
    <row r="4252" spans="187:190" s="2" customFormat="1" ht="18" customHeight="1" x14ac:dyDescent="0.2">
      <c r="GE4252" s="84"/>
      <c r="GF4252" s="84"/>
      <c r="GG4252" s="84"/>
      <c r="GH4252" s="84"/>
    </row>
    <row r="4253" spans="187:190" s="2" customFormat="1" ht="18" customHeight="1" x14ac:dyDescent="0.2">
      <c r="GE4253" s="84"/>
      <c r="GF4253" s="84"/>
      <c r="GG4253" s="84"/>
      <c r="GH4253" s="84"/>
    </row>
    <row r="4254" spans="187:190" s="2" customFormat="1" ht="18" customHeight="1" x14ac:dyDescent="0.2">
      <c r="GE4254" s="84"/>
      <c r="GF4254" s="84"/>
      <c r="GG4254" s="84"/>
      <c r="GH4254" s="84"/>
    </row>
    <row r="4255" spans="187:190" s="2" customFormat="1" ht="18" customHeight="1" x14ac:dyDescent="0.2">
      <c r="GE4255" s="84"/>
      <c r="GF4255" s="84"/>
      <c r="GG4255" s="84"/>
      <c r="GH4255" s="84"/>
    </row>
    <row r="4256" spans="187:190" s="2" customFormat="1" ht="18" customHeight="1" x14ac:dyDescent="0.2">
      <c r="GE4256" s="84"/>
      <c r="GF4256" s="84"/>
      <c r="GG4256" s="84"/>
      <c r="GH4256" s="84"/>
    </row>
    <row r="4257" spans="187:190" s="2" customFormat="1" ht="18" customHeight="1" x14ac:dyDescent="0.2">
      <c r="GE4257" s="84"/>
      <c r="GF4257" s="84"/>
      <c r="GG4257" s="84"/>
      <c r="GH4257" s="84"/>
    </row>
    <row r="4258" spans="187:190" s="2" customFormat="1" ht="18" customHeight="1" x14ac:dyDescent="0.2">
      <c r="GE4258" s="84"/>
      <c r="GF4258" s="84"/>
      <c r="GG4258" s="84"/>
      <c r="GH4258" s="84"/>
    </row>
    <row r="4259" spans="187:190" s="2" customFormat="1" ht="18" customHeight="1" x14ac:dyDescent="0.2">
      <c r="GE4259" s="84"/>
      <c r="GF4259" s="84"/>
      <c r="GG4259" s="84"/>
      <c r="GH4259" s="84"/>
    </row>
    <row r="4260" spans="187:190" s="2" customFormat="1" ht="18" customHeight="1" x14ac:dyDescent="0.2">
      <c r="GE4260" s="84"/>
      <c r="GF4260" s="84"/>
      <c r="GG4260" s="84"/>
      <c r="GH4260" s="84"/>
    </row>
    <row r="4261" spans="187:190" s="2" customFormat="1" ht="18" customHeight="1" x14ac:dyDescent="0.2">
      <c r="GE4261" s="84"/>
      <c r="GF4261" s="84"/>
      <c r="GG4261" s="84"/>
      <c r="GH4261" s="84"/>
    </row>
    <row r="4262" spans="187:190" s="2" customFormat="1" ht="18" customHeight="1" x14ac:dyDescent="0.2">
      <c r="GE4262" s="84"/>
      <c r="GF4262" s="84"/>
      <c r="GG4262" s="84"/>
      <c r="GH4262" s="84"/>
    </row>
    <row r="4263" spans="187:190" s="2" customFormat="1" ht="18" customHeight="1" x14ac:dyDescent="0.2">
      <c r="GE4263" s="84"/>
      <c r="GF4263" s="84"/>
      <c r="GG4263" s="84"/>
      <c r="GH4263" s="84"/>
    </row>
    <row r="4264" spans="187:190" s="2" customFormat="1" ht="18" customHeight="1" x14ac:dyDescent="0.2">
      <c r="GE4264" s="84"/>
      <c r="GF4264" s="84"/>
      <c r="GG4264" s="84"/>
      <c r="GH4264" s="84"/>
    </row>
    <row r="4265" spans="187:190" s="2" customFormat="1" ht="18" customHeight="1" x14ac:dyDescent="0.2">
      <c r="GE4265" s="84"/>
      <c r="GF4265" s="84"/>
      <c r="GG4265" s="84"/>
      <c r="GH4265" s="84"/>
    </row>
    <row r="4266" spans="187:190" s="2" customFormat="1" ht="18" customHeight="1" x14ac:dyDescent="0.2">
      <c r="GE4266" s="84"/>
      <c r="GF4266" s="84"/>
      <c r="GG4266" s="84"/>
      <c r="GH4266" s="84"/>
    </row>
    <row r="4267" spans="187:190" s="2" customFormat="1" ht="18" customHeight="1" x14ac:dyDescent="0.2">
      <c r="GE4267" s="84"/>
      <c r="GF4267" s="84"/>
      <c r="GG4267" s="84"/>
      <c r="GH4267" s="84"/>
    </row>
    <row r="4268" spans="187:190" s="2" customFormat="1" ht="18" customHeight="1" x14ac:dyDescent="0.2">
      <c r="GE4268" s="84"/>
      <c r="GF4268" s="84"/>
      <c r="GG4268" s="84"/>
      <c r="GH4268" s="84"/>
    </row>
    <row r="4269" spans="187:190" s="2" customFormat="1" ht="18" customHeight="1" x14ac:dyDescent="0.2">
      <c r="GE4269" s="84"/>
      <c r="GF4269" s="84"/>
      <c r="GG4269" s="84"/>
      <c r="GH4269" s="84"/>
    </row>
    <row r="4270" spans="187:190" s="2" customFormat="1" ht="18" customHeight="1" x14ac:dyDescent="0.2">
      <c r="GE4270" s="84"/>
      <c r="GF4270" s="84"/>
      <c r="GG4270" s="84"/>
      <c r="GH4270" s="84"/>
    </row>
    <row r="4271" spans="187:190" s="2" customFormat="1" ht="18" customHeight="1" x14ac:dyDescent="0.2">
      <c r="GE4271" s="84"/>
      <c r="GF4271" s="84"/>
      <c r="GG4271" s="84"/>
      <c r="GH4271" s="84"/>
    </row>
    <row r="4272" spans="187:190" s="2" customFormat="1" ht="18" customHeight="1" x14ac:dyDescent="0.2">
      <c r="GE4272" s="84"/>
      <c r="GF4272" s="84"/>
      <c r="GG4272" s="84"/>
      <c r="GH4272" s="84"/>
    </row>
    <row r="4273" spans="187:190" s="2" customFormat="1" ht="18" customHeight="1" x14ac:dyDescent="0.2">
      <c r="GE4273" s="84"/>
      <c r="GF4273" s="84"/>
      <c r="GG4273" s="84"/>
      <c r="GH4273" s="84"/>
    </row>
    <row r="4274" spans="187:190" s="2" customFormat="1" ht="18" customHeight="1" x14ac:dyDescent="0.2">
      <c r="GE4274" s="84"/>
      <c r="GF4274" s="84"/>
      <c r="GG4274" s="84"/>
      <c r="GH4274" s="84"/>
    </row>
    <row r="4275" spans="187:190" s="2" customFormat="1" ht="18" customHeight="1" x14ac:dyDescent="0.2">
      <c r="GE4275" s="84"/>
      <c r="GF4275" s="84"/>
      <c r="GG4275" s="84"/>
      <c r="GH4275" s="84"/>
    </row>
    <row r="4276" spans="187:190" s="2" customFormat="1" ht="18" customHeight="1" x14ac:dyDescent="0.2">
      <c r="GE4276" s="84"/>
      <c r="GF4276" s="84"/>
      <c r="GG4276" s="84"/>
      <c r="GH4276" s="84"/>
    </row>
    <row r="4277" spans="187:190" s="2" customFormat="1" ht="18" customHeight="1" x14ac:dyDescent="0.2">
      <c r="GE4277" s="84"/>
      <c r="GF4277" s="84"/>
      <c r="GG4277" s="84"/>
      <c r="GH4277" s="84"/>
    </row>
    <row r="4278" spans="187:190" s="2" customFormat="1" ht="18" customHeight="1" x14ac:dyDescent="0.2">
      <c r="GE4278" s="84"/>
      <c r="GF4278" s="84"/>
      <c r="GG4278" s="84"/>
      <c r="GH4278" s="84"/>
    </row>
    <row r="4279" spans="187:190" s="2" customFormat="1" ht="18" customHeight="1" x14ac:dyDescent="0.2">
      <c r="GE4279" s="84"/>
      <c r="GF4279" s="84"/>
      <c r="GG4279" s="84"/>
      <c r="GH4279" s="84"/>
    </row>
    <row r="4280" spans="187:190" s="2" customFormat="1" ht="18" customHeight="1" x14ac:dyDescent="0.2">
      <c r="GE4280" s="84"/>
      <c r="GF4280" s="84"/>
      <c r="GG4280" s="84"/>
      <c r="GH4280" s="84"/>
    </row>
    <row r="4281" spans="187:190" s="2" customFormat="1" ht="18" customHeight="1" x14ac:dyDescent="0.2">
      <c r="GE4281" s="84"/>
      <c r="GF4281" s="84"/>
      <c r="GG4281" s="84"/>
      <c r="GH4281" s="84"/>
    </row>
    <row r="4282" spans="187:190" s="2" customFormat="1" ht="18" customHeight="1" x14ac:dyDescent="0.2">
      <c r="GE4282" s="84"/>
      <c r="GF4282" s="84"/>
      <c r="GG4282" s="84"/>
      <c r="GH4282" s="84"/>
    </row>
    <row r="4283" spans="187:190" s="2" customFormat="1" ht="18" customHeight="1" x14ac:dyDescent="0.2">
      <c r="GE4283" s="84"/>
      <c r="GF4283" s="84"/>
      <c r="GG4283" s="84"/>
      <c r="GH4283" s="84"/>
    </row>
    <row r="4284" spans="187:190" s="2" customFormat="1" ht="18" customHeight="1" x14ac:dyDescent="0.2">
      <c r="GE4284" s="84"/>
      <c r="GF4284" s="84"/>
      <c r="GG4284" s="84"/>
      <c r="GH4284" s="84"/>
    </row>
    <row r="4285" spans="187:190" s="2" customFormat="1" ht="18" customHeight="1" x14ac:dyDescent="0.2">
      <c r="GE4285" s="84"/>
      <c r="GF4285" s="84"/>
      <c r="GG4285" s="84"/>
      <c r="GH4285" s="84"/>
    </row>
    <row r="4286" spans="187:190" s="2" customFormat="1" ht="18" customHeight="1" x14ac:dyDescent="0.2">
      <c r="GE4286" s="84"/>
      <c r="GF4286" s="84"/>
      <c r="GG4286" s="84"/>
      <c r="GH4286" s="84"/>
    </row>
    <row r="4287" spans="187:190" s="2" customFormat="1" ht="18" customHeight="1" x14ac:dyDescent="0.2">
      <c r="GE4287" s="84"/>
      <c r="GF4287" s="84"/>
      <c r="GG4287" s="84"/>
      <c r="GH4287" s="84"/>
    </row>
    <row r="4288" spans="187:190" s="2" customFormat="1" ht="18" customHeight="1" x14ac:dyDescent="0.2">
      <c r="GE4288" s="84"/>
      <c r="GF4288" s="84"/>
      <c r="GG4288" s="84"/>
      <c r="GH4288" s="84"/>
    </row>
    <row r="4289" spans="187:190" s="2" customFormat="1" ht="18" customHeight="1" x14ac:dyDescent="0.2">
      <c r="GE4289" s="84"/>
      <c r="GF4289" s="84"/>
      <c r="GG4289" s="84"/>
      <c r="GH4289" s="84"/>
    </row>
    <row r="4290" spans="187:190" s="2" customFormat="1" ht="18" customHeight="1" x14ac:dyDescent="0.2">
      <c r="GE4290" s="84"/>
      <c r="GF4290" s="84"/>
      <c r="GG4290" s="84"/>
      <c r="GH4290" s="84"/>
    </row>
    <row r="4291" spans="187:190" s="2" customFormat="1" ht="18" customHeight="1" x14ac:dyDescent="0.2">
      <c r="GE4291" s="84"/>
      <c r="GF4291" s="84"/>
      <c r="GG4291" s="84"/>
      <c r="GH4291" s="84"/>
    </row>
    <row r="4292" spans="187:190" s="2" customFormat="1" ht="18" customHeight="1" x14ac:dyDescent="0.2">
      <c r="GE4292" s="84"/>
      <c r="GF4292" s="84"/>
      <c r="GG4292" s="84"/>
      <c r="GH4292" s="84"/>
    </row>
    <row r="4293" spans="187:190" s="2" customFormat="1" ht="18" customHeight="1" x14ac:dyDescent="0.2">
      <c r="GE4293" s="84"/>
      <c r="GF4293" s="84"/>
      <c r="GG4293" s="84"/>
      <c r="GH4293" s="84"/>
    </row>
    <row r="4294" spans="187:190" s="2" customFormat="1" ht="18" customHeight="1" x14ac:dyDescent="0.2">
      <c r="GE4294" s="84"/>
      <c r="GF4294" s="84"/>
      <c r="GG4294" s="84"/>
      <c r="GH4294" s="84"/>
    </row>
    <row r="4295" spans="187:190" s="2" customFormat="1" ht="18" customHeight="1" x14ac:dyDescent="0.2">
      <c r="GE4295" s="84"/>
      <c r="GF4295" s="84"/>
      <c r="GG4295" s="84"/>
      <c r="GH4295" s="84"/>
    </row>
    <row r="4296" spans="187:190" s="2" customFormat="1" ht="18" customHeight="1" x14ac:dyDescent="0.2">
      <c r="GE4296" s="84"/>
      <c r="GF4296" s="84"/>
      <c r="GG4296" s="84"/>
      <c r="GH4296" s="84"/>
    </row>
    <row r="4297" spans="187:190" s="2" customFormat="1" ht="18" customHeight="1" x14ac:dyDescent="0.2">
      <c r="GE4297" s="84"/>
      <c r="GF4297" s="84"/>
      <c r="GG4297" s="84"/>
      <c r="GH4297" s="84"/>
    </row>
    <row r="4298" spans="187:190" s="2" customFormat="1" ht="18" customHeight="1" x14ac:dyDescent="0.2">
      <c r="GE4298" s="84"/>
      <c r="GF4298" s="84"/>
      <c r="GG4298" s="84"/>
      <c r="GH4298" s="84"/>
    </row>
    <row r="4299" spans="187:190" s="2" customFormat="1" ht="18" customHeight="1" x14ac:dyDescent="0.2">
      <c r="GE4299" s="84"/>
      <c r="GF4299" s="84"/>
      <c r="GG4299" s="84"/>
      <c r="GH4299" s="84"/>
    </row>
    <row r="4300" spans="187:190" s="2" customFormat="1" ht="18" customHeight="1" x14ac:dyDescent="0.2">
      <c r="GE4300" s="84"/>
      <c r="GF4300" s="84"/>
      <c r="GG4300" s="84"/>
      <c r="GH4300" s="84"/>
    </row>
    <row r="4301" spans="187:190" s="2" customFormat="1" ht="18" customHeight="1" x14ac:dyDescent="0.2">
      <c r="GE4301" s="84"/>
      <c r="GF4301" s="84"/>
      <c r="GG4301" s="84"/>
      <c r="GH4301" s="84"/>
    </row>
    <row r="4302" spans="187:190" s="2" customFormat="1" ht="18" customHeight="1" x14ac:dyDescent="0.2">
      <c r="GE4302" s="84"/>
      <c r="GF4302" s="84"/>
      <c r="GG4302" s="84"/>
      <c r="GH4302" s="84"/>
    </row>
    <row r="4303" spans="187:190" s="2" customFormat="1" ht="18" customHeight="1" x14ac:dyDescent="0.2">
      <c r="GE4303" s="84"/>
      <c r="GF4303" s="84"/>
      <c r="GG4303" s="84"/>
      <c r="GH4303" s="84"/>
    </row>
    <row r="4304" spans="187:190" s="2" customFormat="1" ht="18" customHeight="1" x14ac:dyDescent="0.2">
      <c r="GE4304" s="84"/>
      <c r="GF4304" s="84"/>
      <c r="GG4304" s="84"/>
      <c r="GH4304" s="84"/>
    </row>
    <row r="4305" spans="187:190" s="2" customFormat="1" ht="18" customHeight="1" x14ac:dyDescent="0.2">
      <c r="GE4305" s="84"/>
      <c r="GF4305" s="84"/>
      <c r="GG4305" s="84"/>
      <c r="GH4305" s="84"/>
    </row>
    <row r="4306" spans="187:190" s="2" customFormat="1" ht="18" customHeight="1" x14ac:dyDescent="0.2">
      <c r="GE4306" s="84"/>
      <c r="GF4306" s="84"/>
      <c r="GG4306" s="84"/>
      <c r="GH4306" s="84"/>
    </row>
    <row r="4307" spans="187:190" s="2" customFormat="1" ht="18" customHeight="1" x14ac:dyDescent="0.2">
      <c r="GE4307" s="84"/>
      <c r="GF4307" s="84"/>
      <c r="GG4307" s="84"/>
      <c r="GH4307" s="84"/>
    </row>
    <row r="4308" spans="187:190" s="2" customFormat="1" ht="18" customHeight="1" x14ac:dyDescent="0.2">
      <c r="GE4308" s="84"/>
      <c r="GF4308" s="84"/>
      <c r="GG4308" s="84"/>
      <c r="GH4308" s="84"/>
    </row>
    <row r="4309" spans="187:190" s="2" customFormat="1" ht="18" customHeight="1" x14ac:dyDescent="0.2">
      <c r="GE4309" s="84"/>
      <c r="GF4309" s="84"/>
      <c r="GG4309" s="84"/>
      <c r="GH4309" s="84"/>
    </row>
    <row r="4310" spans="187:190" s="2" customFormat="1" ht="18" customHeight="1" x14ac:dyDescent="0.2">
      <c r="GE4310" s="84"/>
      <c r="GF4310" s="84"/>
      <c r="GG4310" s="84"/>
      <c r="GH4310" s="84"/>
    </row>
    <row r="4311" spans="187:190" s="2" customFormat="1" ht="18" customHeight="1" x14ac:dyDescent="0.2">
      <c r="GE4311" s="84"/>
      <c r="GF4311" s="84"/>
      <c r="GG4311" s="84"/>
      <c r="GH4311" s="84"/>
    </row>
    <row r="4312" spans="187:190" s="2" customFormat="1" ht="18" customHeight="1" x14ac:dyDescent="0.2">
      <c r="GE4312" s="84"/>
      <c r="GF4312" s="84"/>
      <c r="GG4312" s="84"/>
      <c r="GH4312" s="84"/>
    </row>
    <row r="4313" spans="187:190" s="2" customFormat="1" ht="18" customHeight="1" x14ac:dyDescent="0.2">
      <c r="GE4313" s="84"/>
      <c r="GF4313" s="84"/>
      <c r="GG4313" s="84"/>
      <c r="GH4313" s="84"/>
    </row>
    <row r="4314" spans="187:190" s="2" customFormat="1" ht="18" customHeight="1" x14ac:dyDescent="0.2">
      <c r="GE4314" s="84"/>
      <c r="GF4314" s="84"/>
      <c r="GG4314" s="84"/>
      <c r="GH4314" s="84"/>
    </row>
    <row r="4315" spans="187:190" s="2" customFormat="1" ht="18" customHeight="1" x14ac:dyDescent="0.2">
      <c r="GE4315" s="84"/>
      <c r="GF4315" s="84"/>
      <c r="GG4315" s="84"/>
      <c r="GH4315" s="84"/>
    </row>
    <row r="4316" spans="187:190" s="2" customFormat="1" ht="18" customHeight="1" x14ac:dyDescent="0.2">
      <c r="GE4316" s="84"/>
      <c r="GF4316" s="84"/>
      <c r="GG4316" s="84"/>
      <c r="GH4316" s="84"/>
    </row>
    <row r="4317" spans="187:190" s="2" customFormat="1" ht="18" customHeight="1" x14ac:dyDescent="0.2">
      <c r="GE4317" s="84"/>
      <c r="GF4317" s="84"/>
      <c r="GG4317" s="84"/>
      <c r="GH4317" s="84"/>
    </row>
    <row r="4318" spans="187:190" s="2" customFormat="1" ht="18" customHeight="1" x14ac:dyDescent="0.2">
      <c r="GE4318" s="84"/>
      <c r="GF4318" s="84"/>
      <c r="GG4318" s="84"/>
      <c r="GH4318" s="84"/>
    </row>
    <row r="4319" spans="187:190" s="2" customFormat="1" ht="18" customHeight="1" x14ac:dyDescent="0.2">
      <c r="GE4319" s="84"/>
      <c r="GF4319" s="84"/>
      <c r="GG4319" s="84"/>
      <c r="GH4319" s="84"/>
    </row>
    <row r="4320" spans="187:190" s="2" customFormat="1" ht="18" customHeight="1" x14ac:dyDescent="0.2">
      <c r="GE4320" s="84"/>
      <c r="GF4320" s="84"/>
      <c r="GG4320" s="84"/>
      <c r="GH4320" s="84"/>
    </row>
    <row r="4321" spans="187:190" s="2" customFormat="1" ht="18" customHeight="1" x14ac:dyDescent="0.2">
      <c r="GE4321" s="84"/>
      <c r="GF4321" s="84"/>
      <c r="GG4321" s="84"/>
      <c r="GH4321" s="84"/>
    </row>
    <row r="4322" spans="187:190" s="2" customFormat="1" ht="18" customHeight="1" x14ac:dyDescent="0.2">
      <c r="GE4322" s="84"/>
      <c r="GF4322" s="84"/>
      <c r="GG4322" s="84"/>
      <c r="GH4322" s="84"/>
    </row>
    <row r="4323" spans="187:190" s="2" customFormat="1" ht="18" customHeight="1" x14ac:dyDescent="0.2">
      <c r="GE4323" s="84"/>
      <c r="GF4323" s="84"/>
      <c r="GG4323" s="84"/>
      <c r="GH4323" s="84"/>
    </row>
    <row r="4324" spans="187:190" s="2" customFormat="1" ht="18" customHeight="1" x14ac:dyDescent="0.2">
      <c r="GE4324" s="84"/>
      <c r="GF4324" s="84"/>
      <c r="GG4324" s="84"/>
      <c r="GH4324" s="84"/>
    </row>
    <row r="4325" spans="187:190" s="2" customFormat="1" ht="18" customHeight="1" x14ac:dyDescent="0.2">
      <c r="GE4325" s="84"/>
      <c r="GF4325" s="84"/>
      <c r="GG4325" s="84"/>
      <c r="GH4325" s="84"/>
    </row>
    <row r="4326" spans="187:190" s="2" customFormat="1" ht="18" customHeight="1" x14ac:dyDescent="0.2">
      <c r="GE4326" s="84"/>
      <c r="GF4326" s="84"/>
      <c r="GG4326" s="84"/>
      <c r="GH4326" s="84"/>
    </row>
    <row r="4327" spans="187:190" s="2" customFormat="1" ht="18" customHeight="1" x14ac:dyDescent="0.2">
      <c r="GE4327" s="84"/>
      <c r="GF4327" s="84"/>
      <c r="GG4327" s="84"/>
      <c r="GH4327" s="84"/>
    </row>
    <row r="4328" spans="187:190" s="2" customFormat="1" ht="18" customHeight="1" x14ac:dyDescent="0.2">
      <c r="GE4328" s="84"/>
      <c r="GF4328" s="84"/>
      <c r="GG4328" s="84"/>
      <c r="GH4328" s="84"/>
    </row>
    <row r="4329" spans="187:190" s="2" customFormat="1" ht="18" customHeight="1" x14ac:dyDescent="0.2">
      <c r="GE4329" s="84"/>
      <c r="GF4329" s="84"/>
      <c r="GG4329" s="84"/>
      <c r="GH4329" s="84"/>
    </row>
    <row r="4330" spans="187:190" s="2" customFormat="1" ht="18" customHeight="1" x14ac:dyDescent="0.2">
      <c r="GE4330" s="84"/>
      <c r="GF4330" s="84"/>
      <c r="GG4330" s="84"/>
      <c r="GH4330" s="84"/>
    </row>
    <row r="4331" spans="187:190" s="2" customFormat="1" ht="18" customHeight="1" x14ac:dyDescent="0.2">
      <c r="GE4331" s="84"/>
      <c r="GF4331" s="84"/>
      <c r="GG4331" s="84"/>
      <c r="GH4331" s="84"/>
    </row>
    <row r="4332" spans="187:190" s="2" customFormat="1" ht="18" customHeight="1" x14ac:dyDescent="0.2">
      <c r="GE4332" s="84"/>
      <c r="GF4332" s="84"/>
      <c r="GG4332" s="84"/>
      <c r="GH4332" s="84"/>
    </row>
    <row r="4333" spans="187:190" s="2" customFormat="1" ht="18" customHeight="1" x14ac:dyDescent="0.2">
      <c r="GE4333" s="84"/>
      <c r="GF4333" s="84"/>
      <c r="GG4333" s="84"/>
      <c r="GH4333" s="84"/>
    </row>
    <row r="4334" spans="187:190" s="2" customFormat="1" ht="18" customHeight="1" x14ac:dyDescent="0.2">
      <c r="GE4334" s="84"/>
      <c r="GF4334" s="84"/>
      <c r="GG4334" s="84"/>
      <c r="GH4334" s="84"/>
    </row>
    <row r="4335" spans="187:190" s="2" customFormat="1" ht="18" customHeight="1" x14ac:dyDescent="0.2">
      <c r="GE4335" s="84"/>
      <c r="GF4335" s="84"/>
      <c r="GG4335" s="84"/>
      <c r="GH4335" s="84"/>
    </row>
    <row r="4336" spans="187:190" s="2" customFormat="1" ht="18" customHeight="1" x14ac:dyDescent="0.2">
      <c r="GE4336" s="84"/>
      <c r="GF4336" s="84"/>
      <c r="GG4336" s="84"/>
      <c r="GH4336" s="84"/>
    </row>
    <row r="4337" spans="187:190" s="2" customFormat="1" ht="18" customHeight="1" x14ac:dyDescent="0.2">
      <c r="GE4337" s="84"/>
      <c r="GF4337" s="84"/>
      <c r="GG4337" s="84"/>
      <c r="GH4337" s="84"/>
    </row>
    <row r="4338" spans="187:190" s="2" customFormat="1" ht="18" customHeight="1" x14ac:dyDescent="0.2">
      <c r="GE4338" s="84"/>
      <c r="GF4338" s="84"/>
      <c r="GG4338" s="84"/>
      <c r="GH4338" s="84"/>
    </row>
    <row r="4339" spans="187:190" s="2" customFormat="1" ht="18" customHeight="1" x14ac:dyDescent="0.2">
      <c r="GE4339" s="84"/>
      <c r="GF4339" s="84"/>
      <c r="GG4339" s="84"/>
      <c r="GH4339" s="84"/>
    </row>
    <row r="4340" spans="187:190" s="2" customFormat="1" ht="18" customHeight="1" x14ac:dyDescent="0.2">
      <c r="GE4340" s="84"/>
      <c r="GF4340" s="84"/>
      <c r="GG4340" s="84"/>
      <c r="GH4340" s="84"/>
    </row>
    <row r="4341" spans="187:190" s="2" customFormat="1" ht="18" customHeight="1" x14ac:dyDescent="0.2">
      <c r="GE4341" s="84"/>
      <c r="GF4341" s="84"/>
      <c r="GG4341" s="84"/>
      <c r="GH4341" s="84"/>
    </row>
    <row r="4342" spans="187:190" s="2" customFormat="1" ht="18" customHeight="1" x14ac:dyDescent="0.2">
      <c r="GE4342" s="84"/>
      <c r="GF4342" s="84"/>
      <c r="GG4342" s="84"/>
      <c r="GH4342" s="84"/>
    </row>
    <row r="4343" spans="187:190" s="2" customFormat="1" ht="18" customHeight="1" x14ac:dyDescent="0.2">
      <c r="GE4343" s="84"/>
      <c r="GF4343" s="84"/>
      <c r="GG4343" s="84"/>
      <c r="GH4343" s="84"/>
    </row>
    <row r="4344" spans="187:190" s="2" customFormat="1" ht="18" customHeight="1" x14ac:dyDescent="0.2">
      <c r="GE4344" s="84"/>
      <c r="GF4344" s="84"/>
      <c r="GG4344" s="84"/>
      <c r="GH4344" s="84"/>
    </row>
    <row r="4345" spans="187:190" s="2" customFormat="1" ht="18" customHeight="1" x14ac:dyDescent="0.2">
      <c r="GE4345" s="84"/>
      <c r="GF4345" s="84"/>
      <c r="GG4345" s="84"/>
      <c r="GH4345" s="84"/>
    </row>
    <row r="4346" spans="187:190" s="2" customFormat="1" ht="18" customHeight="1" x14ac:dyDescent="0.2">
      <c r="GE4346" s="84"/>
      <c r="GF4346" s="84"/>
      <c r="GG4346" s="84"/>
      <c r="GH4346" s="84"/>
    </row>
    <row r="4347" spans="187:190" s="2" customFormat="1" ht="18" customHeight="1" x14ac:dyDescent="0.2">
      <c r="GE4347" s="84"/>
      <c r="GF4347" s="84"/>
      <c r="GG4347" s="84"/>
      <c r="GH4347" s="84"/>
    </row>
    <row r="4348" spans="187:190" s="2" customFormat="1" ht="18" customHeight="1" x14ac:dyDescent="0.2">
      <c r="GE4348" s="84"/>
      <c r="GF4348" s="84"/>
      <c r="GG4348" s="84"/>
      <c r="GH4348" s="84"/>
    </row>
    <row r="4349" spans="187:190" s="2" customFormat="1" ht="18" customHeight="1" x14ac:dyDescent="0.2">
      <c r="GE4349" s="84"/>
      <c r="GF4349" s="84"/>
      <c r="GG4349" s="84"/>
      <c r="GH4349" s="84"/>
    </row>
    <row r="4350" spans="187:190" s="2" customFormat="1" ht="18" customHeight="1" x14ac:dyDescent="0.2">
      <c r="GE4350" s="84"/>
      <c r="GF4350" s="84"/>
      <c r="GG4350" s="84"/>
      <c r="GH4350" s="84"/>
    </row>
    <row r="4351" spans="187:190" s="2" customFormat="1" ht="18" customHeight="1" x14ac:dyDescent="0.2">
      <c r="GE4351" s="84"/>
      <c r="GF4351" s="84"/>
      <c r="GG4351" s="84"/>
      <c r="GH4351" s="84"/>
    </row>
    <row r="4352" spans="187:190" s="2" customFormat="1" ht="18" customHeight="1" x14ac:dyDescent="0.2">
      <c r="GE4352" s="84"/>
      <c r="GF4352" s="84"/>
      <c r="GG4352" s="84"/>
      <c r="GH4352" s="84"/>
    </row>
    <row r="4353" spans="187:190" s="2" customFormat="1" ht="18" customHeight="1" x14ac:dyDescent="0.2">
      <c r="GE4353" s="84"/>
      <c r="GF4353" s="84"/>
      <c r="GG4353" s="84"/>
      <c r="GH4353" s="84"/>
    </row>
    <row r="4354" spans="187:190" s="2" customFormat="1" ht="18" customHeight="1" x14ac:dyDescent="0.2">
      <c r="GE4354" s="84"/>
      <c r="GF4354" s="84"/>
      <c r="GG4354" s="84"/>
      <c r="GH4354" s="84"/>
    </row>
    <row r="4355" spans="187:190" s="2" customFormat="1" ht="18" customHeight="1" x14ac:dyDescent="0.2">
      <c r="GE4355" s="84"/>
      <c r="GF4355" s="84"/>
      <c r="GG4355" s="84"/>
      <c r="GH4355" s="84"/>
    </row>
    <row r="4356" spans="187:190" s="2" customFormat="1" ht="18" customHeight="1" x14ac:dyDescent="0.2">
      <c r="GE4356" s="84"/>
      <c r="GF4356" s="84"/>
      <c r="GG4356" s="84"/>
      <c r="GH4356" s="84"/>
    </row>
    <row r="4357" spans="187:190" s="2" customFormat="1" ht="18" customHeight="1" x14ac:dyDescent="0.2">
      <c r="GE4357" s="84"/>
      <c r="GF4357" s="84"/>
      <c r="GG4357" s="84"/>
      <c r="GH4357" s="84"/>
    </row>
    <row r="4358" spans="187:190" s="2" customFormat="1" ht="18" customHeight="1" x14ac:dyDescent="0.2">
      <c r="GE4358" s="84"/>
      <c r="GF4358" s="84"/>
      <c r="GG4358" s="84"/>
      <c r="GH4358" s="84"/>
    </row>
    <row r="4359" spans="187:190" s="2" customFormat="1" ht="18" customHeight="1" x14ac:dyDescent="0.2">
      <c r="GE4359" s="84"/>
      <c r="GF4359" s="84"/>
      <c r="GG4359" s="84"/>
      <c r="GH4359" s="84"/>
    </row>
    <row r="4360" spans="187:190" s="2" customFormat="1" ht="18" customHeight="1" x14ac:dyDescent="0.2">
      <c r="GE4360" s="84"/>
      <c r="GF4360" s="84"/>
      <c r="GG4360" s="84"/>
      <c r="GH4360" s="84"/>
    </row>
    <row r="4361" spans="187:190" s="2" customFormat="1" ht="18" customHeight="1" x14ac:dyDescent="0.2">
      <c r="GE4361" s="84"/>
      <c r="GF4361" s="84"/>
      <c r="GG4361" s="84"/>
      <c r="GH4361" s="84"/>
    </row>
    <row r="4362" spans="187:190" s="2" customFormat="1" ht="18" customHeight="1" x14ac:dyDescent="0.2">
      <c r="GE4362" s="84"/>
      <c r="GF4362" s="84"/>
      <c r="GG4362" s="84"/>
      <c r="GH4362" s="84"/>
    </row>
    <row r="4363" spans="187:190" s="2" customFormat="1" ht="18" customHeight="1" x14ac:dyDescent="0.2">
      <c r="GE4363" s="84"/>
      <c r="GF4363" s="84"/>
      <c r="GG4363" s="84"/>
      <c r="GH4363" s="84"/>
    </row>
    <row r="4364" spans="187:190" s="2" customFormat="1" ht="18" customHeight="1" x14ac:dyDescent="0.2">
      <c r="GE4364" s="84"/>
      <c r="GF4364" s="84"/>
      <c r="GG4364" s="84"/>
      <c r="GH4364" s="84"/>
    </row>
    <row r="4365" spans="187:190" s="2" customFormat="1" ht="18" customHeight="1" x14ac:dyDescent="0.2">
      <c r="GE4365" s="84"/>
      <c r="GF4365" s="84"/>
      <c r="GG4365" s="84"/>
      <c r="GH4365" s="84"/>
    </row>
    <row r="4366" spans="187:190" s="2" customFormat="1" ht="18" customHeight="1" x14ac:dyDescent="0.2">
      <c r="GE4366" s="84"/>
      <c r="GF4366" s="84"/>
      <c r="GG4366" s="84"/>
      <c r="GH4366" s="84"/>
    </row>
    <row r="4367" spans="187:190" s="2" customFormat="1" ht="18" customHeight="1" x14ac:dyDescent="0.2">
      <c r="GE4367" s="84"/>
      <c r="GF4367" s="84"/>
      <c r="GG4367" s="84"/>
      <c r="GH4367" s="84"/>
    </row>
    <row r="4368" spans="187:190" s="2" customFormat="1" ht="18" customHeight="1" x14ac:dyDescent="0.2">
      <c r="GE4368" s="84"/>
      <c r="GF4368" s="84"/>
      <c r="GG4368" s="84"/>
      <c r="GH4368" s="84"/>
    </row>
    <row r="4369" spans="187:190" s="2" customFormat="1" ht="18" customHeight="1" x14ac:dyDescent="0.2">
      <c r="GE4369" s="84"/>
      <c r="GF4369" s="84"/>
      <c r="GG4369" s="84"/>
      <c r="GH4369" s="84"/>
    </row>
    <row r="4370" spans="187:190" s="2" customFormat="1" ht="18" customHeight="1" x14ac:dyDescent="0.2">
      <c r="GE4370" s="84"/>
      <c r="GF4370" s="84"/>
      <c r="GG4370" s="84"/>
      <c r="GH4370" s="84"/>
    </row>
    <row r="4371" spans="187:190" s="2" customFormat="1" ht="18" customHeight="1" x14ac:dyDescent="0.2">
      <c r="GE4371" s="84"/>
      <c r="GF4371" s="84"/>
      <c r="GG4371" s="84"/>
      <c r="GH4371" s="84"/>
    </row>
    <row r="4372" spans="187:190" s="2" customFormat="1" ht="18" customHeight="1" x14ac:dyDescent="0.2">
      <c r="GE4372" s="84"/>
      <c r="GF4372" s="84"/>
      <c r="GG4372" s="84"/>
      <c r="GH4372" s="84"/>
    </row>
    <row r="4373" spans="187:190" s="2" customFormat="1" ht="18" customHeight="1" x14ac:dyDescent="0.2">
      <c r="GE4373" s="84"/>
      <c r="GF4373" s="84"/>
      <c r="GG4373" s="84"/>
      <c r="GH4373" s="84"/>
    </row>
    <row r="4374" spans="187:190" s="2" customFormat="1" ht="18" customHeight="1" x14ac:dyDescent="0.2">
      <c r="GE4374" s="84"/>
      <c r="GF4374" s="84"/>
      <c r="GG4374" s="84"/>
      <c r="GH4374" s="84"/>
    </row>
    <row r="4375" spans="187:190" s="2" customFormat="1" ht="18" customHeight="1" x14ac:dyDescent="0.2">
      <c r="GE4375" s="84"/>
      <c r="GF4375" s="84"/>
      <c r="GG4375" s="84"/>
      <c r="GH4375" s="84"/>
    </row>
    <row r="4376" spans="187:190" s="2" customFormat="1" ht="18" customHeight="1" x14ac:dyDescent="0.2">
      <c r="GE4376" s="84"/>
      <c r="GF4376" s="84"/>
      <c r="GG4376" s="84"/>
      <c r="GH4376" s="84"/>
    </row>
    <row r="4377" spans="187:190" s="2" customFormat="1" ht="18" customHeight="1" x14ac:dyDescent="0.2">
      <c r="GE4377" s="84"/>
      <c r="GF4377" s="84"/>
      <c r="GG4377" s="84"/>
      <c r="GH4377" s="84"/>
    </row>
    <row r="4378" spans="187:190" s="2" customFormat="1" ht="18" customHeight="1" x14ac:dyDescent="0.2">
      <c r="GE4378" s="84"/>
      <c r="GF4378" s="84"/>
      <c r="GG4378" s="84"/>
      <c r="GH4378" s="84"/>
    </row>
    <row r="4379" spans="187:190" s="2" customFormat="1" ht="18" customHeight="1" x14ac:dyDescent="0.2">
      <c r="GE4379" s="84"/>
      <c r="GF4379" s="84"/>
      <c r="GG4379" s="84"/>
      <c r="GH4379" s="84"/>
    </row>
    <row r="4380" spans="187:190" s="2" customFormat="1" ht="18" customHeight="1" x14ac:dyDescent="0.2">
      <c r="GE4380" s="84"/>
      <c r="GF4380" s="84"/>
      <c r="GG4380" s="84"/>
      <c r="GH4380" s="84"/>
    </row>
    <row r="4381" spans="187:190" s="2" customFormat="1" ht="18" customHeight="1" x14ac:dyDescent="0.2">
      <c r="GE4381" s="84"/>
      <c r="GF4381" s="84"/>
      <c r="GG4381" s="84"/>
      <c r="GH4381" s="84"/>
    </row>
    <row r="4382" spans="187:190" s="2" customFormat="1" ht="18" customHeight="1" x14ac:dyDescent="0.2">
      <c r="GE4382" s="84"/>
      <c r="GF4382" s="84"/>
      <c r="GG4382" s="84"/>
      <c r="GH4382" s="84"/>
    </row>
    <row r="4383" spans="187:190" s="2" customFormat="1" ht="18" customHeight="1" x14ac:dyDescent="0.2">
      <c r="GE4383" s="84"/>
      <c r="GF4383" s="84"/>
      <c r="GG4383" s="84"/>
      <c r="GH4383" s="84"/>
    </row>
    <row r="4384" spans="187:190" s="2" customFormat="1" ht="18" customHeight="1" x14ac:dyDescent="0.2">
      <c r="GE4384" s="84"/>
      <c r="GF4384" s="84"/>
      <c r="GG4384" s="84"/>
      <c r="GH4384" s="84"/>
    </row>
    <row r="4385" spans="187:190" s="2" customFormat="1" ht="18" customHeight="1" x14ac:dyDescent="0.2">
      <c r="GE4385" s="84"/>
      <c r="GF4385" s="84"/>
      <c r="GG4385" s="84"/>
      <c r="GH4385" s="84"/>
    </row>
    <row r="4386" spans="187:190" s="2" customFormat="1" ht="18" customHeight="1" x14ac:dyDescent="0.2">
      <c r="GE4386" s="84"/>
      <c r="GF4386" s="84"/>
      <c r="GG4386" s="84"/>
      <c r="GH4386" s="84"/>
    </row>
    <row r="4387" spans="187:190" s="2" customFormat="1" ht="18" customHeight="1" x14ac:dyDescent="0.2">
      <c r="GE4387" s="84"/>
      <c r="GF4387" s="84"/>
      <c r="GG4387" s="84"/>
      <c r="GH4387" s="84"/>
    </row>
    <row r="4388" spans="187:190" s="2" customFormat="1" ht="18" customHeight="1" x14ac:dyDescent="0.2">
      <c r="GE4388" s="84"/>
      <c r="GF4388" s="84"/>
      <c r="GG4388" s="84"/>
      <c r="GH4388" s="84"/>
    </row>
    <row r="4389" spans="187:190" s="2" customFormat="1" ht="18" customHeight="1" x14ac:dyDescent="0.2">
      <c r="GE4389" s="84"/>
      <c r="GF4389" s="84"/>
      <c r="GG4389" s="84"/>
      <c r="GH4389" s="84"/>
    </row>
    <row r="4390" spans="187:190" s="2" customFormat="1" ht="18" customHeight="1" x14ac:dyDescent="0.2">
      <c r="GE4390" s="84"/>
      <c r="GF4390" s="84"/>
      <c r="GG4390" s="84"/>
      <c r="GH4390" s="84"/>
    </row>
    <row r="4391" spans="187:190" s="2" customFormat="1" ht="18" customHeight="1" x14ac:dyDescent="0.2">
      <c r="GE4391" s="84"/>
      <c r="GF4391" s="84"/>
      <c r="GG4391" s="84"/>
      <c r="GH4391" s="84"/>
    </row>
    <row r="4392" spans="187:190" s="2" customFormat="1" ht="18" customHeight="1" x14ac:dyDescent="0.2">
      <c r="GE4392" s="84"/>
      <c r="GF4392" s="84"/>
      <c r="GG4392" s="84"/>
      <c r="GH4392" s="84"/>
    </row>
    <row r="4393" spans="187:190" s="2" customFormat="1" ht="18" customHeight="1" x14ac:dyDescent="0.2">
      <c r="GE4393" s="84"/>
      <c r="GF4393" s="84"/>
      <c r="GG4393" s="84"/>
      <c r="GH4393" s="84"/>
    </row>
    <row r="4394" spans="187:190" s="2" customFormat="1" ht="18" customHeight="1" x14ac:dyDescent="0.2">
      <c r="GE4394" s="84"/>
      <c r="GF4394" s="84"/>
      <c r="GG4394" s="84"/>
      <c r="GH4394" s="84"/>
    </row>
    <row r="4395" spans="187:190" s="2" customFormat="1" ht="18" customHeight="1" x14ac:dyDescent="0.2">
      <c r="GE4395" s="84"/>
      <c r="GF4395" s="84"/>
      <c r="GG4395" s="84"/>
      <c r="GH4395" s="84"/>
    </row>
    <row r="4396" spans="187:190" s="2" customFormat="1" ht="18" customHeight="1" x14ac:dyDescent="0.2">
      <c r="GE4396" s="84"/>
      <c r="GF4396" s="84"/>
      <c r="GG4396" s="84"/>
      <c r="GH4396" s="84"/>
    </row>
    <row r="4397" spans="187:190" s="2" customFormat="1" ht="18" customHeight="1" x14ac:dyDescent="0.2">
      <c r="GE4397" s="84"/>
      <c r="GF4397" s="84"/>
      <c r="GG4397" s="84"/>
      <c r="GH4397" s="84"/>
    </row>
    <row r="4398" spans="187:190" s="2" customFormat="1" ht="18" customHeight="1" x14ac:dyDescent="0.2">
      <c r="GE4398" s="84"/>
      <c r="GF4398" s="84"/>
      <c r="GG4398" s="84"/>
      <c r="GH4398" s="84"/>
    </row>
    <row r="4399" spans="187:190" s="2" customFormat="1" ht="18" customHeight="1" x14ac:dyDescent="0.2">
      <c r="GE4399" s="84"/>
      <c r="GF4399" s="84"/>
      <c r="GG4399" s="84"/>
      <c r="GH4399" s="84"/>
    </row>
    <row r="4400" spans="187:190" s="2" customFormat="1" ht="18" customHeight="1" x14ac:dyDescent="0.2">
      <c r="GE4400" s="84"/>
      <c r="GF4400" s="84"/>
      <c r="GG4400" s="84"/>
      <c r="GH4400" s="84"/>
    </row>
    <row r="4401" spans="187:190" s="2" customFormat="1" ht="18" customHeight="1" x14ac:dyDescent="0.2">
      <c r="GE4401" s="84"/>
      <c r="GF4401" s="84"/>
      <c r="GG4401" s="84"/>
      <c r="GH4401" s="84"/>
    </row>
    <row r="4402" spans="187:190" s="2" customFormat="1" ht="18" customHeight="1" x14ac:dyDescent="0.2">
      <c r="GE4402" s="84"/>
      <c r="GF4402" s="84"/>
      <c r="GG4402" s="84"/>
      <c r="GH4402" s="84"/>
    </row>
    <row r="4403" spans="187:190" s="2" customFormat="1" ht="18" customHeight="1" x14ac:dyDescent="0.2">
      <c r="GE4403" s="84"/>
      <c r="GF4403" s="84"/>
      <c r="GG4403" s="84"/>
      <c r="GH4403" s="84"/>
    </row>
    <row r="4404" spans="187:190" s="2" customFormat="1" ht="18" customHeight="1" x14ac:dyDescent="0.2">
      <c r="GE4404" s="84"/>
      <c r="GF4404" s="84"/>
      <c r="GG4404" s="84"/>
      <c r="GH4404" s="84"/>
    </row>
    <row r="4405" spans="187:190" s="2" customFormat="1" ht="18" customHeight="1" x14ac:dyDescent="0.2">
      <c r="GE4405" s="84"/>
      <c r="GF4405" s="84"/>
      <c r="GG4405" s="84"/>
      <c r="GH4405" s="84"/>
    </row>
    <row r="4406" spans="187:190" s="2" customFormat="1" ht="18" customHeight="1" x14ac:dyDescent="0.2">
      <c r="GE4406" s="84"/>
      <c r="GF4406" s="84"/>
      <c r="GG4406" s="84"/>
      <c r="GH4406" s="84"/>
    </row>
    <row r="4407" spans="187:190" s="2" customFormat="1" ht="18" customHeight="1" x14ac:dyDescent="0.2">
      <c r="GE4407" s="84"/>
      <c r="GF4407" s="84"/>
      <c r="GG4407" s="84"/>
      <c r="GH4407" s="84"/>
    </row>
    <row r="4408" spans="187:190" s="2" customFormat="1" ht="18" customHeight="1" x14ac:dyDescent="0.2">
      <c r="GE4408" s="84"/>
      <c r="GF4408" s="84"/>
      <c r="GG4408" s="84"/>
      <c r="GH4408" s="84"/>
    </row>
    <row r="4409" spans="187:190" s="2" customFormat="1" ht="18" customHeight="1" x14ac:dyDescent="0.2">
      <c r="GE4409" s="84"/>
      <c r="GF4409" s="84"/>
      <c r="GG4409" s="84"/>
      <c r="GH4409" s="84"/>
    </row>
    <row r="4410" spans="187:190" s="2" customFormat="1" ht="18" customHeight="1" x14ac:dyDescent="0.2">
      <c r="GE4410" s="84"/>
      <c r="GF4410" s="84"/>
      <c r="GG4410" s="84"/>
      <c r="GH4410" s="84"/>
    </row>
    <row r="4411" spans="187:190" s="2" customFormat="1" ht="18" customHeight="1" x14ac:dyDescent="0.2">
      <c r="GE4411" s="84"/>
      <c r="GF4411" s="84"/>
      <c r="GG4411" s="84"/>
      <c r="GH4411" s="84"/>
    </row>
    <row r="4412" spans="187:190" s="2" customFormat="1" ht="18" customHeight="1" x14ac:dyDescent="0.2">
      <c r="GE4412" s="84"/>
      <c r="GF4412" s="84"/>
      <c r="GG4412" s="84"/>
      <c r="GH4412" s="84"/>
    </row>
    <row r="4413" spans="187:190" s="2" customFormat="1" ht="18" customHeight="1" x14ac:dyDescent="0.2">
      <c r="GE4413" s="84"/>
      <c r="GF4413" s="84"/>
      <c r="GG4413" s="84"/>
      <c r="GH4413" s="84"/>
    </row>
    <row r="4414" spans="187:190" s="2" customFormat="1" ht="18" customHeight="1" x14ac:dyDescent="0.2">
      <c r="GE4414" s="84"/>
      <c r="GF4414" s="84"/>
      <c r="GG4414" s="84"/>
      <c r="GH4414" s="84"/>
    </row>
    <row r="4415" spans="187:190" s="2" customFormat="1" ht="18" customHeight="1" x14ac:dyDescent="0.2">
      <c r="GE4415" s="84"/>
      <c r="GF4415" s="84"/>
      <c r="GG4415" s="84"/>
      <c r="GH4415" s="84"/>
    </row>
    <row r="4416" spans="187:190" s="2" customFormat="1" ht="18" customHeight="1" x14ac:dyDescent="0.2">
      <c r="GE4416" s="84"/>
      <c r="GF4416" s="84"/>
      <c r="GG4416" s="84"/>
      <c r="GH4416" s="84"/>
    </row>
    <row r="4417" spans="187:190" s="2" customFormat="1" ht="18" customHeight="1" x14ac:dyDescent="0.2">
      <c r="GE4417" s="84"/>
      <c r="GF4417" s="84"/>
      <c r="GG4417" s="84"/>
      <c r="GH4417" s="84"/>
    </row>
    <row r="4418" spans="187:190" s="2" customFormat="1" ht="18" customHeight="1" x14ac:dyDescent="0.2">
      <c r="GE4418" s="84"/>
      <c r="GF4418" s="84"/>
      <c r="GG4418" s="84"/>
      <c r="GH4418" s="84"/>
    </row>
    <row r="4419" spans="187:190" s="2" customFormat="1" ht="18" customHeight="1" x14ac:dyDescent="0.2">
      <c r="GE4419" s="84"/>
      <c r="GF4419" s="84"/>
      <c r="GG4419" s="84"/>
      <c r="GH4419" s="84"/>
    </row>
    <row r="4420" spans="187:190" s="2" customFormat="1" ht="18" customHeight="1" x14ac:dyDescent="0.2">
      <c r="GE4420" s="84"/>
      <c r="GF4420" s="84"/>
      <c r="GG4420" s="84"/>
      <c r="GH4420" s="84"/>
    </row>
    <row r="4421" spans="187:190" s="2" customFormat="1" ht="18" customHeight="1" x14ac:dyDescent="0.2">
      <c r="GE4421" s="84"/>
      <c r="GF4421" s="84"/>
      <c r="GG4421" s="84"/>
      <c r="GH4421" s="84"/>
    </row>
    <row r="4422" spans="187:190" s="2" customFormat="1" ht="18" customHeight="1" x14ac:dyDescent="0.2">
      <c r="GE4422" s="84"/>
      <c r="GF4422" s="84"/>
      <c r="GG4422" s="84"/>
      <c r="GH4422" s="84"/>
    </row>
    <row r="4423" spans="187:190" s="2" customFormat="1" ht="18" customHeight="1" x14ac:dyDescent="0.2">
      <c r="GE4423" s="84"/>
      <c r="GF4423" s="84"/>
      <c r="GG4423" s="84"/>
      <c r="GH4423" s="84"/>
    </row>
    <row r="4424" spans="187:190" s="2" customFormat="1" ht="18" customHeight="1" x14ac:dyDescent="0.2">
      <c r="GE4424" s="84"/>
      <c r="GF4424" s="84"/>
      <c r="GG4424" s="84"/>
      <c r="GH4424" s="84"/>
    </row>
    <row r="4425" spans="187:190" s="2" customFormat="1" ht="18" customHeight="1" x14ac:dyDescent="0.2">
      <c r="GE4425" s="84"/>
      <c r="GF4425" s="84"/>
      <c r="GG4425" s="84"/>
      <c r="GH4425" s="84"/>
    </row>
    <row r="4426" spans="187:190" s="2" customFormat="1" ht="18" customHeight="1" x14ac:dyDescent="0.2">
      <c r="GE4426" s="84"/>
      <c r="GF4426" s="84"/>
      <c r="GG4426" s="84"/>
      <c r="GH4426" s="84"/>
    </row>
    <row r="4427" spans="187:190" s="2" customFormat="1" ht="18" customHeight="1" x14ac:dyDescent="0.2">
      <c r="GE4427" s="84"/>
      <c r="GF4427" s="84"/>
      <c r="GG4427" s="84"/>
      <c r="GH4427" s="84"/>
    </row>
    <row r="4428" spans="187:190" s="2" customFormat="1" ht="18" customHeight="1" x14ac:dyDescent="0.2">
      <c r="GE4428" s="84"/>
      <c r="GF4428" s="84"/>
      <c r="GG4428" s="84"/>
      <c r="GH4428" s="84"/>
    </row>
    <row r="4429" spans="187:190" s="2" customFormat="1" ht="18" customHeight="1" x14ac:dyDescent="0.2">
      <c r="GE4429" s="84"/>
      <c r="GF4429" s="84"/>
      <c r="GG4429" s="84"/>
      <c r="GH4429" s="84"/>
    </row>
    <row r="4430" spans="187:190" s="2" customFormat="1" ht="18" customHeight="1" x14ac:dyDescent="0.2">
      <c r="GE4430" s="84"/>
      <c r="GF4430" s="84"/>
      <c r="GG4430" s="84"/>
      <c r="GH4430" s="84"/>
    </row>
    <row r="4431" spans="187:190" s="2" customFormat="1" ht="18" customHeight="1" x14ac:dyDescent="0.2">
      <c r="GE4431" s="84"/>
      <c r="GF4431" s="84"/>
      <c r="GG4431" s="84"/>
      <c r="GH4431" s="84"/>
    </row>
    <row r="4432" spans="187:190" s="2" customFormat="1" ht="18" customHeight="1" x14ac:dyDescent="0.2">
      <c r="GE4432" s="84"/>
      <c r="GF4432" s="84"/>
      <c r="GG4432" s="84"/>
      <c r="GH4432" s="84"/>
    </row>
    <row r="4433" spans="187:190" s="2" customFormat="1" ht="18" customHeight="1" x14ac:dyDescent="0.2">
      <c r="GE4433" s="84"/>
      <c r="GF4433" s="84"/>
      <c r="GG4433" s="84"/>
      <c r="GH4433" s="84"/>
    </row>
    <row r="4434" spans="187:190" s="2" customFormat="1" ht="18" customHeight="1" x14ac:dyDescent="0.2">
      <c r="GE4434" s="84"/>
      <c r="GF4434" s="84"/>
      <c r="GG4434" s="84"/>
      <c r="GH4434" s="84"/>
    </row>
    <row r="4435" spans="187:190" s="2" customFormat="1" ht="18" customHeight="1" x14ac:dyDescent="0.2">
      <c r="GE4435" s="84"/>
      <c r="GF4435" s="84"/>
      <c r="GG4435" s="84"/>
      <c r="GH4435" s="84"/>
    </row>
    <row r="4436" spans="187:190" s="2" customFormat="1" ht="18" customHeight="1" x14ac:dyDescent="0.2">
      <c r="GE4436" s="84"/>
      <c r="GF4436" s="84"/>
      <c r="GG4436" s="84"/>
      <c r="GH4436" s="84"/>
    </row>
    <row r="4437" spans="187:190" s="2" customFormat="1" ht="18" customHeight="1" x14ac:dyDescent="0.2">
      <c r="GE4437" s="84"/>
      <c r="GF4437" s="84"/>
      <c r="GG4437" s="84"/>
      <c r="GH4437" s="84"/>
    </row>
    <row r="4438" spans="187:190" s="2" customFormat="1" ht="18" customHeight="1" x14ac:dyDescent="0.2">
      <c r="GE4438" s="84"/>
      <c r="GF4438" s="84"/>
      <c r="GG4438" s="84"/>
      <c r="GH4438" s="84"/>
    </row>
    <row r="4439" spans="187:190" s="2" customFormat="1" ht="18" customHeight="1" x14ac:dyDescent="0.2">
      <c r="GE4439" s="84"/>
      <c r="GF4439" s="84"/>
      <c r="GG4439" s="84"/>
      <c r="GH4439" s="84"/>
    </row>
    <row r="4440" spans="187:190" s="2" customFormat="1" ht="18" customHeight="1" x14ac:dyDescent="0.2">
      <c r="GE4440" s="84"/>
      <c r="GF4440" s="84"/>
      <c r="GG4440" s="84"/>
      <c r="GH4440" s="84"/>
    </row>
    <row r="4441" spans="187:190" s="2" customFormat="1" ht="18" customHeight="1" x14ac:dyDescent="0.2">
      <c r="GE4441" s="84"/>
      <c r="GF4441" s="84"/>
      <c r="GG4441" s="84"/>
      <c r="GH4441" s="84"/>
    </row>
    <row r="4442" spans="187:190" s="2" customFormat="1" ht="18" customHeight="1" x14ac:dyDescent="0.2">
      <c r="GE4442" s="84"/>
      <c r="GF4442" s="84"/>
      <c r="GG4442" s="84"/>
      <c r="GH4442" s="84"/>
    </row>
    <row r="4443" spans="187:190" s="2" customFormat="1" ht="18" customHeight="1" x14ac:dyDescent="0.2">
      <c r="GE4443" s="84"/>
      <c r="GF4443" s="84"/>
      <c r="GG4443" s="84"/>
      <c r="GH4443" s="84"/>
    </row>
    <row r="4444" spans="187:190" s="2" customFormat="1" ht="18" customHeight="1" x14ac:dyDescent="0.2">
      <c r="GE4444" s="84"/>
      <c r="GF4444" s="84"/>
      <c r="GG4444" s="84"/>
      <c r="GH4444" s="84"/>
    </row>
    <row r="4445" spans="187:190" s="2" customFormat="1" ht="18" customHeight="1" x14ac:dyDescent="0.2">
      <c r="GE4445" s="84"/>
      <c r="GF4445" s="84"/>
      <c r="GG4445" s="84"/>
      <c r="GH4445" s="84"/>
    </row>
    <row r="4446" spans="187:190" s="2" customFormat="1" ht="18" customHeight="1" x14ac:dyDescent="0.2">
      <c r="GE4446" s="84"/>
      <c r="GF4446" s="84"/>
      <c r="GG4446" s="84"/>
      <c r="GH4446" s="84"/>
    </row>
    <row r="4447" spans="187:190" s="2" customFormat="1" ht="18" customHeight="1" x14ac:dyDescent="0.2">
      <c r="GE4447" s="84"/>
      <c r="GF4447" s="84"/>
      <c r="GG4447" s="84"/>
      <c r="GH4447" s="84"/>
    </row>
    <row r="4448" spans="187:190" s="2" customFormat="1" ht="18" customHeight="1" x14ac:dyDescent="0.2">
      <c r="GE4448" s="84"/>
      <c r="GF4448" s="84"/>
      <c r="GG4448" s="84"/>
      <c r="GH4448" s="84"/>
    </row>
    <row r="4449" spans="187:190" s="2" customFormat="1" ht="18" customHeight="1" x14ac:dyDescent="0.2">
      <c r="GE4449" s="84"/>
      <c r="GF4449" s="84"/>
      <c r="GG4449" s="84"/>
      <c r="GH4449" s="84"/>
    </row>
    <row r="4450" spans="187:190" s="2" customFormat="1" ht="18" customHeight="1" x14ac:dyDescent="0.2">
      <c r="GE4450" s="84"/>
      <c r="GF4450" s="84"/>
      <c r="GG4450" s="84"/>
      <c r="GH4450" s="84"/>
    </row>
    <row r="4451" spans="187:190" s="2" customFormat="1" ht="18" customHeight="1" x14ac:dyDescent="0.2">
      <c r="GE4451" s="84"/>
      <c r="GF4451" s="84"/>
      <c r="GG4451" s="84"/>
      <c r="GH4451" s="84"/>
    </row>
    <row r="4452" spans="187:190" s="2" customFormat="1" ht="18" customHeight="1" x14ac:dyDescent="0.2">
      <c r="GE4452" s="84"/>
      <c r="GF4452" s="84"/>
      <c r="GG4452" s="84"/>
      <c r="GH4452" s="84"/>
    </row>
    <row r="4453" spans="187:190" s="2" customFormat="1" ht="18" customHeight="1" x14ac:dyDescent="0.2">
      <c r="GE4453" s="84"/>
      <c r="GF4453" s="84"/>
      <c r="GG4453" s="84"/>
      <c r="GH4453" s="84"/>
    </row>
    <row r="4454" spans="187:190" s="2" customFormat="1" ht="18" customHeight="1" x14ac:dyDescent="0.2">
      <c r="GE4454" s="84"/>
      <c r="GF4454" s="84"/>
      <c r="GG4454" s="84"/>
      <c r="GH4454" s="84"/>
    </row>
    <row r="4455" spans="187:190" s="2" customFormat="1" ht="18" customHeight="1" x14ac:dyDescent="0.2">
      <c r="GE4455" s="84"/>
      <c r="GF4455" s="84"/>
      <c r="GG4455" s="84"/>
      <c r="GH4455" s="84"/>
    </row>
    <row r="4456" spans="187:190" s="2" customFormat="1" ht="18" customHeight="1" x14ac:dyDescent="0.2">
      <c r="GE4456" s="84"/>
      <c r="GF4456" s="84"/>
      <c r="GG4456" s="84"/>
      <c r="GH4456" s="84"/>
    </row>
    <row r="4457" spans="187:190" s="2" customFormat="1" ht="18" customHeight="1" x14ac:dyDescent="0.2">
      <c r="GE4457" s="84"/>
      <c r="GF4457" s="84"/>
      <c r="GG4457" s="84"/>
      <c r="GH4457" s="84"/>
    </row>
    <row r="4458" spans="187:190" s="2" customFormat="1" ht="18" customHeight="1" x14ac:dyDescent="0.2">
      <c r="GE4458" s="84"/>
      <c r="GF4458" s="84"/>
      <c r="GG4458" s="84"/>
      <c r="GH4458" s="84"/>
    </row>
    <row r="4459" spans="187:190" s="2" customFormat="1" ht="18" customHeight="1" x14ac:dyDescent="0.2">
      <c r="GE4459" s="84"/>
      <c r="GF4459" s="84"/>
      <c r="GG4459" s="84"/>
      <c r="GH4459" s="84"/>
    </row>
    <row r="4460" spans="187:190" s="2" customFormat="1" ht="18" customHeight="1" x14ac:dyDescent="0.2">
      <c r="GE4460" s="84"/>
      <c r="GF4460" s="84"/>
      <c r="GG4460" s="84"/>
      <c r="GH4460" s="84"/>
    </row>
    <row r="4461" spans="187:190" s="2" customFormat="1" ht="18" customHeight="1" x14ac:dyDescent="0.2">
      <c r="GE4461" s="84"/>
      <c r="GF4461" s="84"/>
      <c r="GG4461" s="84"/>
      <c r="GH4461" s="84"/>
    </row>
    <row r="4462" spans="187:190" s="2" customFormat="1" ht="18" customHeight="1" x14ac:dyDescent="0.2">
      <c r="GE4462" s="84"/>
      <c r="GF4462" s="84"/>
      <c r="GG4462" s="84"/>
      <c r="GH4462" s="84"/>
    </row>
    <row r="4463" spans="187:190" s="2" customFormat="1" ht="18" customHeight="1" x14ac:dyDescent="0.2">
      <c r="GE4463" s="84"/>
      <c r="GF4463" s="84"/>
      <c r="GG4463" s="84"/>
      <c r="GH4463" s="84"/>
    </row>
    <row r="4464" spans="187:190" s="2" customFormat="1" ht="18" customHeight="1" x14ac:dyDescent="0.2">
      <c r="GE4464" s="84"/>
      <c r="GF4464" s="84"/>
      <c r="GG4464" s="84"/>
      <c r="GH4464" s="84"/>
    </row>
    <row r="4465" spans="187:190" s="2" customFormat="1" ht="18" customHeight="1" x14ac:dyDescent="0.2">
      <c r="GE4465" s="84"/>
      <c r="GF4465" s="84"/>
      <c r="GG4465" s="84"/>
      <c r="GH4465" s="84"/>
    </row>
    <row r="4466" spans="187:190" s="2" customFormat="1" ht="18" customHeight="1" x14ac:dyDescent="0.2">
      <c r="GE4466" s="84"/>
      <c r="GF4466" s="84"/>
      <c r="GG4466" s="84"/>
      <c r="GH4466" s="84"/>
    </row>
    <row r="4467" spans="187:190" s="2" customFormat="1" ht="18" customHeight="1" x14ac:dyDescent="0.2">
      <c r="GE4467" s="84"/>
      <c r="GF4467" s="84"/>
      <c r="GG4467" s="84"/>
      <c r="GH4467" s="84"/>
    </row>
    <row r="4468" spans="187:190" s="2" customFormat="1" ht="18" customHeight="1" x14ac:dyDescent="0.2">
      <c r="GE4468" s="84"/>
      <c r="GF4468" s="84"/>
      <c r="GG4468" s="84"/>
      <c r="GH4468" s="84"/>
    </row>
    <row r="4469" spans="187:190" s="2" customFormat="1" ht="18" customHeight="1" x14ac:dyDescent="0.2">
      <c r="GE4469" s="84"/>
      <c r="GF4469" s="84"/>
      <c r="GG4469" s="84"/>
      <c r="GH4469" s="84"/>
    </row>
    <row r="4470" spans="187:190" s="2" customFormat="1" ht="18" customHeight="1" x14ac:dyDescent="0.2">
      <c r="GE4470" s="84"/>
      <c r="GF4470" s="84"/>
      <c r="GG4470" s="84"/>
      <c r="GH4470" s="84"/>
    </row>
    <row r="4471" spans="187:190" s="2" customFormat="1" ht="18" customHeight="1" x14ac:dyDescent="0.2">
      <c r="GE4471" s="84"/>
      <c r="GF4471" s="84"/>
      <c r="GG4471" s="84"/>
      <c r="GH4471" s="84"/>
    </row>
    <row r="4472" spans="187:190" s="2" customFormat="1" ht="18" customHeight="1" x14ac:dyDescent="0.2">
      <c r="GE4472" s="84"/>
      <c r="GF4472" s="84"/>
      <c r="GG4472" s="84"/>
      <c r="GH4472" s="84"/>
    </row>
    <row r="4473" spans="187:190" s="2" customFormat="1" ht="18" customHeight="1" x14ac:dyDescent="0.2">
      <c r="GE4473" s="84"/>
      <c r="GF4473" s="84"/>
      <c r="GG4473" s="84"/>
      <c r="GH4473" s="84"/>
    </row>
    <row r="4474" spans="187:190" s="2" customFormat="1" ht="18" customHeight="1" x14ac:dyDescent="0.2">
      <c r="GE4474" s="84"/>
      <c r="GF4474" s="84"/>
      <c r="GG4474" s="84"/>
      <c r="GH4474" s="84"/>
    </row>
    <row r="4475" spans="187:190" s="2" customFormat="1" ht="18" customHeight="1" x14ac:dyDescent="0.2">
      <c r="GE4475" s="84"/>
      <c r="GF4475" s="84"/>
      <c r="GG4475" s="84"/>
      <c r="GH4475" s="84"/>
    </row>
    <row r="4476" spans="187:190" s="2" customFormat="1" ht="18" customHeight="1" x14ac:dyDescent="0.2">
      <c r="GE4476" s="84"/>
      <c r="GF4476" s="84"/>
      <c r="GG4476" s="84"/>
      <c r="GH4476" s="84"/>
    </row>
    <row r="4477" spans="187:190" s="2" customFormat="1" ht="18" customHeight="1" x14ac:dyDescent="0.2">
      <c r="GE4477" s="84"/>
      <c r="GF4477" s="84"/>
      <c r="GG4477" s="84"/>
      <c r="GH4477" s="84"/>
    </row>
    <row r="4478" spans="187:190" s="2" customFormat="1" ht="18" customHeight="1" x14ac:dyDescent="0.2">
      <c r="GE4478" s="84"/>
      <c r="GF4478" s="84"/>
      <c r="GG4478" s="84"/>
      <c r="GH4478" s="84"/>
    </row>
    <row r="4479" spans="187:190" s="2" customFormat="1" ht="18" customHeight="1" x14ac:dyDescent="0.2">
      <c r="GE4479" s="84"/>
      <c r="GF4479" s="84"/>
      <c r="GG4479" s="84"/>
      <c r="GH4479" s="84"/>
    </row>
    <row r="4480" spans="187:190" s="2" customFormat="1" ht="18" customHeight="1" x14ac:dyDescent="0.2">
      <c r="GE4480" s="84"/>
      <c r="GF4480" s="84"/>
      <c r="GG4480" s="84"/>
      <c r="GH4480" s="84"/>
    </row>
    <row r="4481" spans="187:190" s="2" customFormat="1" ht="18" customHeight="1" x14ac:dyDescent="0.2">
      <c r="GE4481" s="84"/>
      <c r="GF4481" s="84"/>
      <c r="GG4481" s="84"/>
      <c r="GH4481" s="84"/>
    </row>
    <row r="4482" spans="187:190" s="2" customFormat="1" ht="18" customHeight="1" x14ac:dyDescent="0.2">
      <c r="GE4482" s="84"/>
      <c r="GF4482" s="84"/>
      <c r="GG4482" s="84"/>
      <c r="GH4482" s="84"/>
    </row>
    <row r="4483" spans="187:190" s="2" customFormat="1" ht="18" customHeight="1" x14ac:dyDescent="0.2">
      <c r="GE4483" s="84"/>
      <c r="GF4483" s="84"/>
      <c r="GG4483" s="84"/>
      <c r="GH4483" s="84"/>
    </row>
    <row r="4484" spans="187:190" s="2" customFormat="1" ht="18" customHeight="1" x14ac:dyDescent="0.2">
      <c r="GE4484" s="84"/>
      <c r="GF4484" s="84"/>
      <c r="GG4484" s="84"/>
      <c r="GH4484" s="84"/>
    </row>
    <row r="4485" spans="187:190" s="2" customFormat="1" ht="18" customHeight="1" x14ac:dyDescent="0.2">
      <c r="GE4485" s="84"/>
      <c r="GF4485" s="84"/>
      <c r="GG4485" s="84"/>
      <c r="GH4485" s="84"/>
    </row>
    <row r="4486" spans="187:190" s="2" customFormat="1" ht="18" customHeight="1" x14ac:dyDescent="0.2">
      <c r="GE4486" s="84"/>
      <c r="GF4486" s="84"/>
      <c r="GG4486" s="84"/>
      <c r="GH4486" s="84"/>
    </row>
    <row r="4487" spans="187:190" s="2" customFormat="1" ht="18" customHeight="1" x14ac:dyDescent="0.2">
      <c r="GE4487" s="84"/>
      <c r="GF4487" s="84"/>
      <c r="GG4487" s="84"/>
      <c r="GH4487" s="84"/>
    </row>
    <row r="4488" spans="187:190" s="2" customFormat="1" ht="18" customHeight="1" x14ac:dyDescent="0.2">
      <c r="GE4488" s="84"/>
      <c r="GF4488" s="84"/>
      <c r="GG4488" s="84"/>
      <c r="GH4488" s="84"/>
    </row>
    <row r="4489" spans="187:190" s="2" customFormat="1" ht="18" customHeight="1" x14ac:dyDescent="0.2">
      <c r="GE4489" s="84"/>
      <c r="GF4489" s="84"/>
      <c r="GG4489" s="84"/>
      <c r="GH4489" s="84"/>
    </row>
    <row r="4490" spans="187:190" s="2" customFormat="1" ht="18" customHeight="1" x14ac:dyDescent="0.2">
      <c r="GE4490" s="84"/>
      <c r="GF4490" s="84"/>
      <c r="GG4490" s="84"/>
      <c r="GH4490" s="84"/>
    </row>
    <row r="4491" spans="187:190" s="2" customFormat="1" ht="18" customHeight="1" x14ac:dyDescent="0.2">
      <c r="GE4491" s="84"/>
      <c r="GF4491" s="84"/>
      <c r="GG4491" s="84"/>
      <c r="GH4491" s="84"/>
    </row>
    <row r="4492" spans="187:190" s="2" customFormat="1" ht="18" customHeight="1" x14ac:dyDescent="0.2">
      <c r="GE4492" s="84"/>
      <c r="GF4492" s="84"/>
      <c r="GG4492" s="84"/>
      <c r="GH4492" s="84"/>
    </row>
    <row r="4493" spans="187:190" s="2" customFormat="1" ht="18" customHeight="1" x14ac:dyDescent="0.2">
      <c r="GE4493" s="84"/>
      <c r="GF4493" s="84"/>
      <c r="GG4493" s="84"/>
      <c r="GH4493" s="84"/>
    </row>
    <row r="4494" spans="187:190" s="2" customFormat="1" ht="18" customHeight="1" x14ac:dyDescent="0.2">
      <c r="GE4494" s="84"/>
      <c r="GF4494" s="84"/>
      <c r="GG4494" s="84"/>
      <c r="GH4494" s="84"/>
    </row>
    <row r="4495" spans="187:190" s="2" customFormat="1" ht="18" customHeight="1" x14ac:dyDescent="0.2">
      <c r="GE4495" s="84"/>
      <c r="GF4495" s="84"/>
      <c r="GG4495" s="84"/>
      <c r="GH4495" s="84"/>
    </row>
    <row r="4496" spans="187:190" s="2" customFormat="1" ht="18" customHeight="1" x14ac:dyDescent="0.2">
      <c r="GE4496" s="84"/>
      <c r="GF4496" s="84"/>
      <c r="GG4496" s="84"/>
      <c r="GH4496" s="84"/>
    </row>
    <row r="4497" spans="187:190" s="2" customFormat="1" ht="18" customHeight="1" x14ac:dyDescent="0.2">
      <c r="GE4497" s="84"/>
      <c r="GF4497" s="84"/>
      <c r="GG4497" s="84"/>
      <c r="GH4497" s="84"/>
    </row>
    <row r="4498" spans="187:190" s="2" customFormat="1" ht="18" customHeight="1" x14ac:dyDescent="0.2">
      <c r="GE4498" s="84"/>
      <c r="GF4498" s="84"/>
      <c r="GG4498" s="84"/>
      <c r="GH4498" s="84"/>
    </row>
    <row r="4499" spans="187:190" s="2" customFormat="1" ht="18" customHeight="1" x14ac:dyDescent="0.2">
      <c r="GE4499" s="84"/>
      <c r="GF4499" s="84"/>
      <c r="GG4499" s="84"/>
      <c r="GH4499" s="84"/>
    </row>
    <row r="4500" spans="187:190" s="2" customFormat="1" ht="18" customHeight="1" x14ac:dyDescent="0.2">
      <c r="GE4500" s="84"/>
      <c r="GF4500" s="84"/>
      <c r="GG4500" s="84"/>
      <c r="GH4500" s="84"/>
    </row>
    <row r="4501" spans="187:190" s="2" customFormat="1" ht="18" customHeight="1" x14ac:dyDescent="0.2">
      <c r="GE4501" s="84"/>
      <c r="GF4501" s="84"/>
      <c r="GG4501" s="84"/>
      <c r="GH4501" s="84"/>
    </row>
    <row r="4502" spans="187:190" s="2" customFormat="1" ht="18" customHeight="1" x14ac:dyDescent="0.2">
      <c r="GE4502" s="84"/>
      <c r="GF4502" s="84"/>
      <c r="GG4502" s="84"/>
      <c r="GH4502" s="84"/>
    </row>
    <row r="4503" spans="187:190" s="2" customFormat="1" ht="18" customHeight="1" x14ac:dyDescent="0.2">
      <c r="GE4503" s="84"/>
      <c r="GF4503" s="84"/>
      <c r="GG4503" s="84"/>
      <c r="GH4503" s="84"/>
    </row>
    <row r="4504" spans="187:190" s="2" customFormat="1" ht="18" customHeight="1" x14ac:dyDescent="0.2">
      <c r="GE4504" s="84"/>
      <c r="GF4504" s="84"/>
      <c r="GG4504" s="84"/>
      <c r="GH4504" s="84"/>
    </row>
    <row r="4505" spans="187:190" s="2" customFormat="1" ht="18" customHeight="1" x14ac:dyDescent="0.2">
      <c r="GE4505" s="84"/>
      <c r="GF4505" s="84"/>
      <c r="GG4505" s="84"/>
      <c r="GH4505" s="84"/>
    </row>
    <row r="4506" spans="187:190" s="2" customFormat="1" ht="18" customHeight="1" x14ac:dyDescent="0.2">
      <c r="GE4506" s="84"/>
      <c r="GF4506" s="84"/>
      <c r="GG4506" s="84"/>
      <c r="GH4506" s="84"/>
    </row>
    <row r="4507" spans="187:190" s="2" customFormat="1" ht="18" customHeight="1" x14ac:dyDescent="0.2">
      <c r="GE4507" s="84"/>
      <c r="GF4507" s="84"/>
      <c r="GG4507" s="84"/>
      <c r="GH4507" s="84"/>
    </row>
    <row r="4508" spans="187:190" s="2" customFormat="1" ht="18" customHeight="1" x14ac:dyDescent="0.2">
      <c r="GE4508" s="84"/>
      <c r="GF4508" s="84"/>
      <c r="GG4508" s="84"/>
      <c r="GH4508" s="84"/>
    </row>
    <row r="4509" spans="187:190" s="2" customFormat="1" ht="18" customHeight="1" x14ac:dyDescent="0.2">
      <c r="GE4509" s="84"/>
      <c r="GF4509" s="84"/>
      <c r="GG4509" s="84"/>
      <c r="GH4509" s="84"/>
    </row>
    <row r="4510" spans="187:190" s="2" customFormat="1" ht="18" customHeight="1" x14ac:dyDescent="0.2">
      <c r="GE4510" s="84"/>
      <c r="GF4510" s="84"/>
      <c r="GG4510" s="84"/>
      <c r="GH4510" s="84"/>
    </row>
    <row r="4511" spans="187:190" s="2" customFormat="1" ht="18" customHeight="1" x14ac:dyDescent="0.2">
      <c r="GE4511" s="84"/>
      <c r="GF4511" s="84"/>
      <c r="GG4511" s="84"/>
      <c r="GH4511" s="84"/>
    </row>
    <row r="4512" spans="187:190" s="2" customFormat="1" ht="18" customHeight="1" x14ac:dyDescent="0.2">
      <c r="GE4512" s="84"/>
      <c r="GF4512" s="84"/>
      <c r="GG4512" s="84"/>
      <c r="GH4512" s="84"/>
    </row>
    <row r="4513" spans="187:190" s="2" customFormat="1" ht="18" customHeight="1" x14ac:dyDescent="0.2">
      <c r="GE4513" s="84"/>
      <c r="GF4513" s="84"/>
      <c r="GG4513" s="84"/>
      <c r="GH4513" s="84"/>
    </row>
    <row r="4514" spans="187:190" s="2" customFormat="1" ht="18" customHeight="1" x14ac:dyDescent="0.2">
      <c r="GE4514" s="84"/>
      <c r="GF4514" s="84"/>
      <c r="GG4514" s="84"/>
      <c r="GH4514" s="84"/>
    </row>
    <row r="4515" spans="187:190" s="2" customFormat="1" ht="18" customHeight="1" x14ac:dyDescent="0.2">
      <c r="GE4515" s="84"/>
      <c r="GF4515" s="84"/>
      <c r="GG4515" s="84"/>
      <c r="GH4515" s="84"/>
    </row>
    <row r="4516" spans="187:190" s="2" customFormat="1" ht="18" customHeight="1" x14ac:dyDescent="0.2">
      <c r="GE4516" s="84"/>
      <c r="GF4516" s="84"/>
      <c r="GG4516" s="84"/>
      <c r="GH4516" s="84"/>
    </row>
    <row r="4517" spans="187:190" s="2" customFormat="1" ht="18" customHeight="1" x14ac:dyDescent="0.2">
      <c r="GE4517" s="84"/>
      <c r="GF4517" s="84"/>
      <c r="GG4517" s="84"/>
      <c r="GH4517" s="84"/>
    </row>
    <row r="4518" spans="187:190" s="2" customFormat="1" ht="18" customHeight="1" x14ac:dyDescent="0.2">
      <c r="GE4518" s="84"/>
      <c r="GF4518" s="84"/>
      <c r="GG4518" s="84"/>
      <c r="GH4518" s="84"/>
    </row>
    <row r="4519" spans="187:190" s="2" customFormat="1" ht="18" customHeight="1" x14ac:dyDescent="0.2">
      <c r="GE4519" s="84"/>
      <c r="GF4519" s="84"/>
      <c r="GG4519" s="84"/>
      <c r="GH4519" s="84"/>
    </row>
    <row r="4520" spans="187:190" s="2" customFormat="1" ht="18" customHeight="1" x14ac:dyDescent="0.2">
      <c r="GE4520" s="84"/>
      <c r="GF4520" s="84"/>
      <c r="GG4520" s="84"/>
      <c r="GH4520" s="84"/>
    </row>
    <row r="4521" spans="187:190" s="2" customFormat="1" ht="18" customHeight="1" x14ac:dyDescent="0.2">
      <c r="GE4521" s="84"/>
      <c r="GF4521" s="84"/>
      <c r="GG4521" s="84"/>
      <c r="GH4521" s="84"/>
    </row>
    <row r="4522" spans="187:190" s="2" customFormat="1" ht="18" customHeight="1" x14ac:dyDescent="0.2">
      <c r="GE4522" s="84"/>
      <c r="GF4522" s="84"/>
      <c r="GG4522" s="84"/>
      <c r="GH4522" s="84"/>
    </row>
    <row r="4523" spans="187:190" s="2" customFormat="1" ht="18" customHeight="1" x14ac:dyDescent="0.2">
      <c r="GE4523" s="84"/>
      <c r="GF4523" s="84"/>
      <c r="GG4523" s="84"/>
      <c r="GH4523" s="84"/>
    </row>
    <row r="4524" spans="187:190" s="2" customFormat="1" ht="18" customHeight="1" x14ac:dyDescent="0.2">
      <c r="GE4524" s="84"/>
      <c r="GF4524" s="84"/>
      <c r="GG4524" s="84"/>
      <c r="GH4524" s="84"/>
    </row>
    <row r="4525" spans="187:190" s="2" customFormat="1" ht="18" customHeight="1" x14ac:dyDescent="0.2">
      <c r="GE4525" s="84"/>
      <c r="GF4525" s="84"/>
      <c r="GG4525" s="84"/>
      <c r="GH4525" s="84"/>
    </row>
    <row r="4526" spans="187:190" s="2" customFormat="1" ht="18" customHeight="1" x14ac:dyDescent="0.2">
      <c r="GE4526" s="84"/>
      <c r="GF4526" s="84"/>
      <c r="GG4526" s="84"/>
      <c r="GH4526" s="84"/>
    </row>
    <row r="4527" spans="187:190" s="2" customFormat="1" ht="18" customHeight="1" x14ac:dyDescent="0.2">
      <c r="GE4527" s="84"/>
      <c r="GF4527" s="84"/>
      <c r="GG4527" s="84"/>
      <c r="GH4527" s="84"/>
    </row>
    <row r="4528" spans="187:190" s="2" customFormat="1" ht="18" customHeight="1" x14ac:dyDescent="0.2">
      <c r="GE4528" s="84"/>
      <c r="GF4528" s="84"/>
      <c r="GG4528" s="84"/>
      <c r="GH4528" s="84"/>
    </row>
    <row r="4529" spans="187:190" s="2" customFormat="1" ht="18" customHeight="1" x14ac:dyDescent="0.2">
      <c r="GE4529" s="84"/>
      <c r="GF4529" s="84"/>
      <c r="GG4529" s="84"/>
      <c r="GH4529" s="84"/>
    </row>
    <row r="4530" spans="187:190" s="2" customFormat="1" ht="18" customHeight="1" x14ac:dyDescent="0.2">
      <c r="GE4530" s="84"/>
      <c r="GF4530" s="84"/>
      <c r="GG4530" s="84"/>
      <c r="GH4530" s="84"/>
    </row>
    <row r="4531" spans="187:190" s="2" customFormat="1" ht="18" customHeight="1" x14ac:dyDescent="0.2">
      <c r="GE4531" s="84"/>
      <c r="GF4531" s="84"/>
      <c r="GG4531" s="84"/>
      <c r="GH4531" s="84"/>
    </row>
    <row r="4532" spans="187:190" s="2" customFormat="1" ht="18" customHeight="1" x14ac:dyDescent="0.2">
      <c r="GE4532" s="84"/>
      <c r="GF4532" s="84"/>
      <c r="GG4532" s="84"/>
      <c r="GH4532" s="84"/>
    </row>
    <row r="4533" spans="187:190" s="2" customFormat="1" ht="18" customHeight="1" x14ac:dyDescent="0.2">
      <c r="GE4533" s="84"/>
      <c r="GF4533" s="84"/>
      <c r="GG4533" s="84"/>
      <c r="GH4533" s="84"/>
    </row>
    <row r="4534" spans="187:190" s="2" customFormat="1" ht="18" customHeight="1" x14ac:dyDescent="0.2">
      <c r="GE4534" s="84"/>
      <c r="GF4534" s="84"/>
      <c r="GG4534" s="84"/>
      <c r="GH4534" s="84"/>
    </row>
    <row r="4535" spans="187:190" s="2" customFormat="1" ht="18" customHeight="1" x14ac:dyDescent="0.2">
      <c r="GE4535" s="84"/>
      <c r="GF4535" s="84"/>
      <c r="GG4535" s="84"/>
      <c r="GH4535" s="84"/>
    </row>
    <row r="4536" spans="187:190" s="2" customFormat="1" ht="18" customHeight="1" x14ac:dyDescent="0.2">
      <c r="GE4536" s="84"/>
      <c r="GF4536" s="84"/>
      <c r="GG4536" s="84"/>
      <c r="GH4536" s="84"/>
    </row>
    <row r="4537" spans="187:190" s="2" customFormat="1" ht="18" customHeight="1" x14ac:dyDescent="0.2">
      <c r="GE4537" s="84"/>
      <c r="GF4537" s="84"/>
      <c r="GG4537" s="84"/>
      <c r="GH4537" s="84"/>
    </row>
    <row r="4538" spans="187:190" s="2" customFormat="1" ht="18" customHeight="1" x14ac:dyDescent="0.2">
      <c r="GE4538" s="84"/>
      <c r="GF4538" s="84"/>
      <c r="GG4538" s="84"/>
      <c r="GH4538" s="84"/>
    </row>
    <row r="4539" spans="187:190" s="2" customFormat="1" ht="18" customHeight="1" x14ac:dyDescent="0.2">
      <c r="GE4539" s="84"/>
      <c r="GF4539" s="84"/>
      <c r="GG4539" s="84"/>
      <c r="GH4539" s="84"/>
    </row>
    <row r="4540" spans="187:190" s="2" customFormat="1" ht="18" customHeight="1" x14ac:dyDescent="0.2">
      <c r="GE4540" s="84"/>
      <c r="GF4540" s="84"/>
      <c r="GG4540" s="84"/>
      <c r="GH4540" s="84"/>
    </row>
    <row r="4541" spans="187:190" s="2" customFormat="1" ht="18" customHeight="1" x14ac:dyDescent="0.2">
      <c r="GE4541" s="84"/>
      <c r="GF4541" s="84"/>
      <c r="GG4541" s="84"/>
      <c r="GH4541" s="84"/>
    </row>
    <row r="4542" spans="187:190" s="2" customFormat="1" ht="18" customHeight="1" x14ac:dyDescent="0.2">
      <c r="GE4542" s="84"/>
      <c r="GF4542" s="84"/>
      <c r="GG4542" s="84"/>
      <c r="GH4542" s="84"/>
    </row>
    <row r="4543" spans="187:190" s="2" customFormat="1" ht="18" customHeight="1" x14ac:dyDescent="0.2">
      <c r="GE4543" s="84"/>
      <c r="GF4543" s="84"/>
      <c r="GG4543" s="84"/>
      <c r="GH4543" s="84"/>
    </row>
    <row r="4544" spans="187:190" s="2" customFormat="1" ht="18" customHeight="1" x14ac:dyDescent="0.2">
      <c r="GE4544" s="84"/>
      <c r="GF4544" s="84"/>
      <c r="GG4544" s="84"/>
      <c r="GH4544" s="84"/>
    </row>
    <row r="4545" spans="187:190" s="2" customFormat="1" ht="18" customHeight="1" x14ac:dyDescent="0.2">
      <c r="GE4545" s="84"/>
      <c r="GF4545" s="84"/>
      <c r="GG4545" s="84"/>
      <c r="GH4545" s="84"/>
    </row>
    <row r="4546" spans="187:190" s="2" customFormat="1" ht="18" customHeight="1" x14ac:dyDescent="0.2">
      <c r="GE4546" s="84"/>
      <c r="GF4546" s="84"/>
      <c r="GG4546" s="84"/>
      <c r="GH4546" s="84"/>
    </row>
    <row r="4547" spans="187:190" s="2" customFormat="1" ht="18" customHeight="1" x14ac:dyDescent="0.2">
      <c r="GE4547" s="84"/>
      <c r="GF4547" s="84"/>
      <c r="GG4547" s="84"/>
      <c r="GH4547" s="84"/>
    </row>
    <row r="4548" spans="187:190" s="2" customFormat="1" ht="18" customHeight="1" x14ac:dyDescent="0.2">
      <c r="GE4548" s="84"/>
      <c r="GF4548" s="84"/>
      <c r="GG4548" s="84"/>
      <c r="GH4548" s="84"/>
    </row>
    <row r="4549" spans="187:190" s="2" customFormat="1" ht="18" customHeight="1" x14ac:dyDescent="0.2">
      <c r="GE4549" s="84"/>
      <c r="GF4549" s="84"/>
      <c r="GG4549" s="84"/>
      <c r="GH4549" s="84"/>
    </row>
    <row r="4550" spans="187:190" s="2" customFormat="1" ht="18" customHeight="1" x14ac:dyDescent="0.2">
      <c r="GE4550" s="84"/>
      <c r="GF4550" s="84"/>
      <c r="GG4550" s="84"/>
      <c r="GH4550" s="84"/>
    </row>
    <row r="4551" spans="187:190" s="2" customFormat="1" ht="18" customHeight="1" x14ac:dyDescent="0.2">
      <c r="GE4551" s="84"/>
      <c r="GF4551" s="84"/>
      <c r="GG4551" s="84"/>
      <c r="GH4551" s="84"/>
    </row>
    <row r="4552" spans="187:190" s="2" customFormat="1" ht="18" customHeight="1" x14ac:dyDescent="0.2">
      <c r="GE4552" s="84"/>
      <c r="GF4552" s="84"/>
      <c r="GG4552" s="84"/>
      <c r="GH4552" s="84"/>
    </row>
    <row r="4553" spans="187:190" s="2" customFormat="1" ht="18" customHeight="1" x14ac:dyDescent="0.2">
      <c r="GE4553" s="84"/>
      <c r="GF4553" s="84"/>
      <c r="GG4553" s="84"/>
      <c r="GH4553" s="84"/>
    </row>
    <row r="4554" spans="187:190" s="2" customFormat="1" ht="18" customHeight="1" x14ac:dyDescent="0.2">
      <c r="GE4554" s="84"/>
      <c r="GF4554" s="84"/>
      <c r="GG4554" s="84"/>
      <c r="GH4554" s="84"/>
    </row>
    <row r="4555" spans="187:190" s="2" customFormat="1" ht="18" customHeight="1" x14ac:dyDescent="0.2">
      <c r="GE4555" s="84"/>
      <c r="GF4555" s="84"/>
      <c r="GG4555" s="84"/>
      <c r="GH4555" s="84"/>
    </row>
    <row r="4556" spans="187:190" s="2" customFormat="1" ht="18" customHeight="1" x14ac:dyDescent="0.2">
      <c r="GE4556" s="84"/>
      <c r="GF4556" s="84"/>
      <c r="GG4556" s="84"/>
      <c r="GH4556" s="84"/>
    </row>
    <row r="4557" spans="187:190" s="2" customFormat="1" ht="18" customHeight="1" x14ac:dyDescent="0.2">
      <c r="GE4557" s="84"/>
      <c r="GF4557" s="84"/>
      <c r="GG4557" s="84"/>
      <c r="GH4557" s="84"/>
    </row>
    <row r="4558" spans="187:190" s="2" customFormat="1" ht="18" customHeight="1" x14ac:dyDescent="0.2">
      <c r="GE4558" s="84"/>
      <c r="GF4558" s="84"/>
      <c r="GG4558" s="84"/>
      <c r="GH4558" s="84"/>
    </row>
    <row r="4559" spans="187:190" s="2" customFormat="1" ht="18" customHeight="1" x14ac:dyDescent="0.2">
      <c r="GE4559" s="84"/>
      <c r="GF4559" s="84"/>
      <c r="GG4559" s="84"/>
      <c r="GH4559" s="84"/>
    </row>
    <row r="4560" spans="187:190" s="2" customFormat="1" ht="18" customHeight="1" x14ac:dyDescent="0.2">
      <c r="GE4560" s="84"/>
      <c r="GF4560" s="84"/>
      <c r="GG4560" s="84"/>
      <c r="GH4560" s="84"/>
    </row>
    <row r="4561" spans="187:190" s="2" customFormat="1" ht="18" customHeight="1" x14ac:dyDescent="0.2">
      <c r="GE4561" s="84"/>
      <c r="GF4561" s="84"/>
      <c r="GG4561" s="84"/>
      <c r="GH4561" s="84"/>
    </row>
    <row r="4562" spans="187:190" s="2" customFormat="1" ht="18" customHeight="1" x14ac:dyDescent="0.2">
      <c r="GE4562" s="84"/>
      <c r="GF4562" s="84"/>
      <c r="GG4562" s="84"/>
      <c r="GH4562" s="84"/>
    </row>
    <row r="4563" spans="187:190" s="2" customFormat="1" ht="18" customHeight="1" x14ac:dyDescent="0.2">
      <c r="GE4563" s="84"/>
      <c r="GF4563" s="84"/>
      <c r="GG4563" s="84"/>
      <c r="GH4563" s="84"/>
    </row>
    <row r="4564" spans="187:190" s="2" customFormat="1" ht="18" customHeight="1" x14ac:dyDescent="0.2">
      <c r="GE4564" s="84"/>
      <c r="GF4564" s="84"/>
      <c r="GG4564" s="84"/>
      <c r="GH4564" s="84"/>
    </row>
    <row r="4565" spans="187:190" s="2" customFormat="1" ht="18" customHeight="1" x14ac:dyDescent="0.2">
      <c r="GE4565" s="84"/>
      <c r="GF4565" s="84"/>
      <c r="GG4565" s="84"/>
      <c r="GH4565" s="84"/>
    </row>
    <row r="4566" spans="187:190" s="2" customFormat="1" ht="18" customHeight="1" x14ac:dyDescent="0.2">
      <c r="GE4566" s="84"/>
      <c r="GF4566" s="84"/>
      <c r="GG4566" s="84"/>
      <c r="GH4566" s="84"/>
    </row>
    <row r="4567" spans="187:190" s="2" customFormat="1" ht="18" customHeight="1" x14ac:dyDescent="0.2">
      <c r="GE4567" s="84"/>
      <c r="GF4567" s="84"/>
      <c r="GG4567" s="84"/>
      <c r="GH4567" s="84"/>
    </row>
    <row r="4568" spans="187:190" s="2" customFormat="1" ht="18" customHeight="1" x14ac:dyDescent="0.2">
      <c r="GE4568" s="84"/>
      <c r="GF4568" s="84"/>
      <c r="GG4568" s="84"/>
      <c r="GH4568" s="84"/>
    </row>
    <row r="4569" spans="187:190" s="2" customFormat="1" ht="18" customHeight="1" x14ac:dyDescent="0.2">
      <c r="GE4569" s="84"/>
      <c r="GF4569" s="84"/>
      <c r="GG4569" s="84"/>
      <c r="GH4569" s="84"/>
    </row>
    <row r="4570" spans="187:190" s="2" customFormat="1" ht="18" customHeight="1" x14ac:dyDescent="0.2">
      <c r="GE4570" s="84"/>
      <c r="GF4570" s="84"/>
      <c r="GG4570" s="84"/>
      <c r="GH4570" s="84"/>
    </row>
    <row r="4571" spans="187:190" s="2" customFormat="1" ht="18" customHeight="1" x14ac:dyDescent="0.2">
      <c r="GE4571" s="84"/>
      <c r="GF4571" s="84"/>
      <c r="GG4571" s="84"/>
      <c r="GH4571" s="84"/>
    </row>
    <row r="4572" spans="187:190" s="2" customFormat="1" ht="18" customHeight="1" x14ac:dyDescent="0.2">
      <c r="GE4572" s="84"/>
      <c r="GF4572" s="84"/>
      <c r="GG4572" s="84"/>
      <c r="GH4572" s="84"/>
    </row>
    <row r="4573" spans="187:190" s="2" customFormat="1" ht="18" customHeight="1" x14ac:dyDescent="0.2">
      <c r="GE4573" s="84"/>
      <c r="GF4573" s="84"/>
      <c r="GG4573" s="84"/>
      <c r="GH4573" s="84"/>
    </row>
    <row r="4574" spans="187:190" s="2" customFormat="1" ht="18" customHeight="1" x14ac:dyDescent="0.2">
      <c r="GE4574" s="84"/>
      <c r="GF4574" s="84"/>
      <c r="GG4574" s="84"/>
      <c r="GH4574" s="84"/>
    </row>
    <row r="4575" spans="187:190" s="2" customFormat="1" ht="18" customHeight="1" x14ac:dyDescent="0.2">
      <c r="GE4575" s="84"/>
      <c r="GF4575" s="84"/>
      <c r="GG4575" s="84"/>
      <c r="GH4575" s="84"/>
    </row>
    <row r="4576" spans="187:190" s="2" customFormat="1" ht="18" customHeight="1" x14ac:dyDescent="0.2">
      <c r="GE4576" s="84"/>
      <c r="GF4576" s="84"/>
      <c r="GG4576" s="84"/>
      <c r="GH4576" s="84"/>
    </row>
    <row r="4577" spans="187:190" s="2" customFormat="1" ht="18" customHeight="1" x14ac:dyDescent="0.2">
      <c r="GE4577" s="84"/>
      <c r="GF4577" s="84"/>
      <c r="GG4577" s="84"/>
      <c r="GH4577" s="84"/>
    </row>
    <row r="4578" spans="187:190" s="2" customFormat="1" ht="18" customHeight="1" x14ac:dyDescent="0.2">
      <c r="GE4578" s="84"/>
      <c r="GF4578" s="84"/>
      <c r="GG4578" s="84"/>
      <c r="GH4578" s="84"/>
    </row>
    <row r="4579" spans="187:190" s="2" customFormat="1" ht="18" customHeight="1" x14ac:dyDescent="0.2">
      <c r="GE4579" s="84"/>
      <c r="GF4579" s="84"/>
      <c r="GG4579" s="84"/>
      <c r="GH4579" s="84"/>
    </row>
    <row r="4580" spans="187:190" s="2" customFormat="1" ht="18" customHeight="1" x14ac:dyDescent="0.2">
      <c r="GE4580" s="84"/>
      <c r="GF4580" s="84"/>
      <c r="GG4580" s="84"/>
      <c r="GH4580" s="84"/>
    </row>
    <row r="4581" spans="187:190" s="2" customFormat="1" ht="18" customHeight="1" x14ac:dyDescent="0.2">
      <c r="GE4581" s="84"/>
      <c r="GF4581" s="84"/>
      <c r="GG4581" s="84"/>
      <c r="GH4581" s="84"/>
    </row>
    <row r="4582" spans="187:190" s="2" customFormat="1" ht="18" customHeight="1" x14ac:dyDescent="0.2">
      <c r="GE4582" s="84"/>
      <c r="GF4582" s="84"/>
      <c r="GG4582" s="84"/>
      <c r="GH4582" s="84"/>
    </row>
    <row r="4583" spans="187:190" s="2" customFormat="1" ht="18" customHeight="1" x14ac:dyDescent="0.2">
      <c r="GE4583" s="84"/>
      <c r="GF4583" s="84"/>
      <c r="GG4583" s="84"/>
      <c r="GH4583" s="84"/>
    </row>
    <row r="4584" spans="187:190" s="2" customFormat="1" ht="18" customHeight="1" x14ac:dyDescent="0.2">
      <c r="GE4584" s="84"/>
      <c r="GF4584" s="84"/>
      <c r="GG4584" s="84"/>
      <c r="GH4584" s="84"/>
    </row>
    <row r="4585" spans="187:190" s="2" customFormat="1" ht="18" customHeight="1" x14ac:dyDescent="0.2">
      <c r="GE4585" s="84"/>
      <c r="GF4585" s="84"/>
      <c r="GG4585" s="84"/>
      <c r="GH4585" s="84"/>
    </row>
    <row r="4586" spans="187:190" s="2" customFormat="1" ht="18" customHeight="1" x14ac:dyDescent="0.2">
      <c r="GE4586" s="84"/>
      <c r="GF4586" s="84"/>
      <c r="GG4586" s="84"/>
      <c r="GH4586" s="84"/>
    </row>
    <row r="4587" spans="187:190" s="2" customFormat="1" ht="18" customHeight="1" x14ac:dyDescent="0.2">
      <c r="GE4587" s="84"/>
      <c r="GF4587" s="84"/>
      <c r="GG4587" s="84"/>
      <c r="GH4587" s="84"/>
    </row>
    <row r="4588" spans="187:190" s="2" customFormat="1" ht="18" customHeight="1" x14ac:dyDescent="0.2">
      <c r="GE4588" s="84"/>
      <c r="GF4588" s="84"/>
      <c r="GG4588" s="84"/>
      <c r="GH4588" s="84"/>
    </row>
    <row r="4589" spans="187:190" s="2" customFormat="1" ht="18" customHeight="1" x14ac:dyDescent="0.2">
      <c r="GE4589" s="84"/>
      <c r="GF4589" s="84"/>
      <c r="GG4589" s="84"/>
      <c r="GH4589" s="84"/>
    </row>
    <row r="4590" spans="187:190" s="2" customFormat="1" ht="18" customHeight="1" x14ac:dyDescent="0.2">
      <c r="GE4590" s="84"/>
      <c r="GF4590" s="84"/>
      <c r="GG4590" s="84"/>
      <c r="GH4590" s="84"/>
    </row>
    <row r="4591" spans="187:190" s="2" customFormat="1" ht="18" customHeight="1" x14ac:dyDescent="0.2">
      <c r="GE4591" s="84"/>
      <c r="GF4591" s="84"/>
      <c r="GG4591" s="84"/>
      <c r="GH4591" s="84"/>
    </row>
    <row r="4592" spans="187:190" s="2" customFormat="1" ht="18" customHeight="1" x14ac:dyDescent="0.2">
      <c r="GE4592" s="84"/>
      <c r="GF4592" s="84"/>
      <c r="GG4592" s="84"/>
      <c r="GH4592" s="84"/>
    </row>
    <row r="4593" spans="187:190" s="2" customFormat="1" ht="18" customHeight="1" x14ac:dyDescent="0.2">
      <c r="GE4593" s="84"/>
      <c r="GF4593" s="84"/>
      <c r="GG4593" s="84"/>
      <c r="GH4593" s="84"/>
    </row>
    <row r="4594" spans="187:190" s="2" customFormat="1" ht="18" customHeight="1" x14ac:dyDescent="0.2">
      <c r="GE4594" s="84"/>
      <c r="GF4594" s="84"/>
      <c r="GG4594" s="84"/>
      <c r="GH4594" s="84"/>
    </row>
    <row r="4595" spans="187:190" s="2" customFormat="1" ht="18" customHeight="1" x14ac:dyDescent="0.2">
      <c r="GE4595" s="84"/>
      <c r="GF4595" s="84"/>
      <c r="GG4595" s="84"/>
      <c r="GH4595" s="84"/>
    </row>
    <row r="4596" spans="187:190" s="2" customFormat="1" ht="18" customHeight="1" x14ac:dyDescent="0.2">
      <c r="GE4596" s="84"/>
      <c r="GF4596" s="84"/>
      <c r="GG4596" s="84"/>
      <c r="GH4596" s="84"/>
    </row>
    <row r="4597" spans="187:190" s="2" customFormat="1" ht="18" customHeight="1" x14ac:dyDescent="0.2">
      <c r="GE4597" s="84"/>
      <c r="GF4597" s="84"/>
      <c r="GG4597" s="84"/>
      <c r="GH4597" s="84"/>
    </row>
    <row r="4598" spans="187:190" s="2" customFormat="1" ht="18" customHeight="1" x14ac:dyDescent="0.2">
      <c r="GE4598" s="84"/>
      <c r="GF4598" s="84"/>
      <c r="GG4598" s="84"/>
      <c r="GH4598" s="84"/>
    </row>
    <row r="4599" spans="187:190" s="2" customFormat="1" ht="18" customHeight="1" x14ac:dyDescent="0.2">
      <c r="GE4599" s="84"/>
      <c r="GF4599" s="84"/>
      <c r="GG4599" s="84"/>
      <c r="GH4599" s="84"/>
    </row>
    <row r="4600" spans="187:190" s="2" customFormat="1" ht="18" customHeight="1" x14ac:dyDescent="0.2">
      <c r="GE4600" s="84"/>
      <c r="GF4600" s="84"/>
      <c r="GG4600" s="84"/>
      <c r="GH4600" s="84"/>
    </row>
    <row r="4601" spans="187:190" s="2" customFormat="1" ht="18" customHeight="1" x14ac:dyDescent="0.2">
      <c r="GE4601" s="84"/>
      <c r="GF4601" s="84"/>
      <c r="GG4601" s="84"/>
      <c r="GH4601" s="84"/>
    </row>
    <row r="4602" spans="187:190" s="2" customFormat="1" ht="18" customHeight="1" x14ac:dyDescent="0.2">
      <c r="GE4602" s="84"/>
      <c r="GF4602" s="84"/>
      <c r="GG4602" s="84"/>
      <c r="GH4602" s="84"/>
    </row>
    <row r="4603" spans="187:190" s="2" customFormat="1" ht="18" customHeight="1" x14ac:dyDescent="0.2">
      <c r="GE4603" s="84"/>
      <c r="GF4603" s="84"/>
      <c r="GG4603" s="84"/>
      <c r="GH4603" s="84"/>
    </row>
    <row r="4604" spans="187:190" s="2" customFormat="1" ht="18" customHeight="1" x14ac:dyDescent="0.2">
      <c r="GE4604" s="84"/>
      <c r="GF4604" s="84"/>
      <c r="GG4604" s="84"/>
      <c r="GH4604" s="84"/>
    </row>
    <row r="4605" spans="187:190" s="2" customFormat="1" ht="18" customHeight="1" x14ac:dyDescent="0.2">
      <c r="GE4605" s="84"/>
      <c r="GF4605" s="84"/>
      <c r="GG4605" s="84"/>
      <c r="GH4605" s="84"/>
    </row>
    <row r="4606" spans="187:190" s="2" customFormat="1" ht="18" customHeight="1" x14ac:dyDescent="0.2">
      <c r="GE4606" s="84"/>
      <c r="GF4606" s="84"/>
      <c r="GG4606" s="84"/>
      <c r="GH4606" s="84"/>
    </row>
    <row r="4607" spans="187:190" s="2" customFormat="1" ht="18" customHeight="1" x14ac:dyDescent="0.2">
      <c r="GE4607" s="84"/>
      <c r="GF4607" s="84"/>
      <c r="GG4607" s="84"/>
      <c r="GH4607" s="84"/>
    </row>
    <row r="4608" spans="187:190" s="2" customFormat="1" ht="18" customHeight="1" x14ac:dyDescent="0.2">
      <c r="GE4608" s="84"/>
      <c r="GF4608" s="84"/>
      <c r="GG4608" s="84"/>
      <c r="GH4608" s="84"/>
    </row>
    <row r="4609" spans="187:190" s="2" customFormat="1" ht="18" customHeight="1" x14ac:dyDescent="0.2">
      <c r="GE4609" s="84"/>
      <c r="GF4609" s="84"/>
      <c r="GG4609" s="84"/>
      <c r="GH4609" s="84"/>
    </row>
    <row r="4610" spans="187:190" s="2" customFormat="1" ht="18" customHeight="1" x14ac:dyDescent="0.2">
      <c r="GE4610" s="84"/>
      <c r="GF4610" s="84"/>
      <c r="GG4610" s="84"/>
      <c r="GH4610" s="84"/>
    </row>
    <row r="4611" spans="187:190" s="2" customFormat="1" ht="18" customHeight="1" x14ac:dyDescent="0.2">
      <c r="GE4611" s="84"/>
      <c r="GF4611" s="84"/>
      <c r="GG4611" s="84"/>
      <c r="GH4611" s="84"/>
    </row>
    <row r="4612" spans="187:190" s="2" customFormat="1" ht="18" customHeight="1" x14ac:dyDescent="0.2">
      <c r="GE4612" s="84"/>
      <c r="GF4612" s="84"/>
      <c r="GG4612" s="84"/>
      <c r="GH4612" s="84"/>
    </row>
    <row r="4613" spans="187:190" s="2" customFormat="1" ht="18" customHeight="1" x14ac:dyDescent="0.2">
      <c r="GE4613" s="84"/>
      <c r="GF4613" s="84"/>
      <c r="GG4613" s="84"/>
      <c r="GH4613" s="84"/>
    </row>
    <row r="4614" spans="187:190" s="2" customFormat="1" ht="18" customHeight="1" x14ac:dyDescent="0.2">
      <c r="GE4614" s="84"/>
      <c r="GF4614" s="84"/>
      <c r="GG4614" s="84"/>
      <c r="GH4614" s="84"/>
    </row>
    <row r="4615" spans="187:190" s="2" customFormat="1" ht="18" customHeight="1" x14ac:dyDescent="0.2">
      <c r="GE4615" s="84"/>
      <c r="GF4615" s="84"/>
      <c r="GG4615" s="84"/>
      <c r="GH4615" s="84"/>
    </row>
    <row r="4616" spans="187:190" s="2" customFormat="1" ht="18" customHeight="1" x14ac:dyDescent="0.2">
      <c r="GE4616" s="84"/>
      <c r="GF4616" s="84"/>
      <c r="GG4616" s="84"/>
      <c r="GH4616" s="84"/>
    </row>
    <row r="4617" spans="187:190" s="2" customFormat="1" ht="18" customHeight="1" x14ac:dyDescent="0.2">
      <c r="GE4617" s="84"/>
      <c r="GF4617" s="84"/>
      <c r="GG4617" s="84"/>
      <c r="GH4617" s="84"/>
    </row>
    <row r="4618" spans="187:190" s="2" customFormat="1" ht="18" customHeight="1" x14ac:dyDescent="0.2">
      <c r="GE4618" s="84"/>
      <c r="GF4618" s="84"/>
      <c r="GG4618" s="84"/>
      <c r="GH4618" s="84"/>
    </row>
    <row r="4619" spans="187:190" s="2" customFormat="1" ht="18" customHeight="1" x14ac:dyDescent="0.2">
      <c r="GE4619" s="84"/>
      <c r="GF4619" s="84"/>
      <c r="GG4619" s="84"/>
      <c r="GH4619" s="84"/>
    </row>
    <row r="4620" spans="187:190" s="2" customFormat="1" ht="18" customHeight="1" x14ac:dyDescent="0.2">
      <c r="GE4620" s="84"/>
      <c r="GF4620" s="84"/>
      <c r="GG4620" s="84"/>
      <c r="GH4620" s="84"/>
    </row>
    <row r="4621" spans="187:190" s="2" customFormat="1" ht="18" customHeight="1" x14ac:dyDescent="0.2">
      <c r="GE4621" s="84"/>
      <c r="GF4621" s="84"/>
      <c r="GG4621" s="84"/>
      <c r="GH4621" s="84"/>
    </row>
    <row r="4622" spans="187:190" s="2" customFormat="1" ht="18" customHeight="1" x14ac:dyDescent="0.2">
      <c r="GE4622" s="84"/>
      <c r="GF4622" s="84"/>
      <c r="GG4622" s="84"/>
      <c r="GH4622" s="84"/>
    </row>
    <row r="4623" spans="187:190" s="2" customFormat="1" ht="18" customHeight="1" x14ac:dyDescent="0.2">
      <c r="GE4623" s="84"/>
      <c r="GF4623" s="84"/>
      <c r="GG4623" s="84"/>
      <c r="GH4623" s="84"/>
    </row>
    <row r="4624" spans="187:190" s="2" customFormat="1" ht="18" customHeight="1" x14ac:dyDescent="0.2">
      <c r="GE4624" s="84"/>
      <c r="GF4624" s="84"/>
      <c r="GG4624" s="84"/>
      <c r="GH4624" s="84"/>
    </row>
    <row r="4625" spans="187:190" s="2" customFormat="1" ht="18" customHeight="1" x14ac:dyDescent="0.2">
      <c r="GE4625" s="84"/>
      <c r="GF4625" s="84"/>
      <c r="GG4625" s="84"/>
      <c r="GH4625" s="84"/>
    </row>
    <row r="4626" spans="187:190" s="2" customFormat="1" ht="18" customHeight="1" x14ac:dyDescent="0.2">
      <c r="GE4626" s="84"/>
      <c r="GF4626" s="84"/>
      <c r="GG4626" s="84"/>
      <c r="GH4626" s="84"/>
    </row>
    <row r="4627" spans="187:190" s="2" customFormat="1" ht="18" customHeight="1" x14ac:dyDescent="0.2">
      <c r="GE4627" s="84"/>
      <c r="GF4627" s="84"/>
      <c r="GG4627" s="84"/>
      <c r="GH4627" s="84"/>
    </row>
    <row r="4628" spans="187:190" s="2" customFormat="1" ht="18" customHeight="1" x14ac:dyDescent="0.2">
      <c r="GE4628" s="84"/>
      <c r="GF4628" s="84"/>
      <c r="GG4628" s="84"/>
      <c r="GH4628" s="84"/>
    </row>
    <row r="4629" spans="187:190" s="2" customFormat="1" ht="18" customHeight="1" x14ac:dyDescent="0.2">
      <c r="GE4629" s="84"/>
      <c r="GF4629" s="84"/>
      <c r="GG4629" s="84"/>
      <c r="GH4629" s="84"/>
    </row>
    <row r="4630" spans="187:190" s="2" customFormat="1" ht="18" customHeight="1" x14ac:dyDescent="0.2">
      <c r="GE4630" s="84"/>
      <c r="GF4630" s="84"/>
      <c r="GG4630" s="84"/>
      <c r="GH4630" s="84"/>
    </row>
    <row r="4631" spans="187:190" s="2" customFormat="1" ht="18" customHeight="1" x14ac:dyDescent="0.2">
      <c r="GE4631" s="84"/>
      <c r="GF4631" s="84"/>
      <c r="GG4631" s="84"/>
      <c r="GH4631" s="84"/>
    </row>
    <row r="4632" spans="187:190" s="2" customFormat="1" ht="18" customHeight="1" x14ac:dyDescent="0.2">
      <c r="GE4632" s="84"/>
      <c r="GF4632" s="84"/>
      <c r="GG4632" s="84"/>
      <c r="GH4632" s="84"/>
    </row>
    <row r="4633" spans="187:190" s="2" customFormat="1" ht="18" customHeight="1" x14ac:dyDescent="0.2">
      <c r="GE4633" s="84"/>
      <c r="GF4633" s="84"/>
      <c r="GG4633" s="84"/>
      <c r="GH4633" s="84"/>
    </row>
    <row r="4634" spans="187:190" s="2" customFormat="1" ht="18" customHeight="1" x14ac:dyDescent="0.2">
      <c r="GE4634" s="84"/>
      <c r="GF4634" s="84"/>
      <c r="GG4634" s="84"/>
      <c r="GH4634" s="84"/>
    </row>
    <row r="4635" spans="187:190" s="2" customFormat="1" ht="18" customHeight="1" x14ac:dyDescent="0.2">
      <c r="GE4635" s="84"/>
      <c r="GF4635" s="84"/>
      <c r="GG4635" s="84"/>
      <c r="GH4635" s="84"/>
    </row>
    <row r="4636" spans="187:190" s="2" customFormat="1" ht="18" customHeight="1" x14ac:dyDescent="0.2">
      <c r="GE4636" s="84"/>
      <c r="GF4636" s="84"/>
      <c r="GG4636" s="84"/>
      <c r="GH4636" s="84"/>
    </row>
    <row r="4637" spans="187:190" s="2" customFormat="1" ht="18" customHeight="1" x14ac:dyDescent="0.2">
      <c r="GE4637" s="84"/>
      <c r="GF4637" s="84"/>
      <c r="GG4637" s="84"/>
      <c r="GH4637" s="84"/>
    </row>
    <row r="4638" spans="187:190" s="2" customFormat="1" ht="18" customHeight="1" x14ac:dyDescent="0.2">
      <c r="GE4638" s="84"/>
      <c r="GF4638" s="84"/>
      <c r="GG4638" s="84"/>
      <c r="GH4638" s="84"/>
    </row>
    <row r="4639" spans="187:190" s="2" customFormat="1" ht="18" customHeight="1" x14ac:dyDescent="0.2">
      <c r="GE4639" s="84"/>
      <c r="GF4639" s="84"/>
      <c r="GG4639" s="84"/>
      <c r="GH4639" s="84"/>
    </row>
    <row r="4640" spans="187:190" s="2" customFormat="1" ht="18" customHeight="1" x14ac:dyDescent="0.2">
      <c r="GE4640" s="84"/>
      <c r="GF4640" s="84"/>
      <c r="GG4640" s="84"/>
      <c r="GH4640" s="84"/>
    </row>
    <row r="4641" spans="187:190" s="2" customFormat="1" ht="18" customHeight="1" x14ac:dyDescent="0.2">
      <c r="GE4641" s="84"/>
      <c r="GF4641" s="84"/>
      <c r="GG4641" s="84"/>
      <c r="GH4641" s="84"/>
    </row>
    <row r="4642" spans="187:190" s="2" customFormat="1" ht="18" customHeight="1" x14ac:dyDescent="0.2">
      <c r="GE4642" s="84"/>
      <c r="GF4642" s="84"/>
      <c r="GG4642" s="84"/>
      <c r="GH4642" s="84"/>
    </row>
    <row r="4643" spans="187:190" s="2" customFormat="1" ht="18" customHeight="1" x14ac:dyDescent="0.2">
      <c r="GE4643" s="84"/>
      <c r="GF4643" s="84"/>
      <c r="GG4643" s="84"/>
      <c r="GH4643" s="84"/>
    </row>
    <row r="4644" spans="187:190" s="2" customFormat="1" ht="18" customHeight="1" x14ac:dyDescent="0.2">
      <c r="GE4644" s="84"/>
      <c r="GF4644" s="84"/>
      <c r="GG4644" s="84"/>
      <c r="GH4644" s="84"/>
    </row>
    <row r="4645" spans="187:190" s="2" customFormat="1" ht="18" customHeight="1" x14ac:dyDescent="0.2">
      <c r="GE4645" s="84"/>
      <c r="GF4645" s="84"/>
      <c r="GG4645" s="84"/>
      <c r="GH4645" s="84"/>
    </row>
    <row r="4646" spans="187:190" s="2" customFormat="1" ht="18" customHeight="1" x14ac:dyDescent="0.2">
      <c r="GE4646" s="84"/>
      <c r="GF4646" s="84"/>
      <c r="GG4646" s="84"/>
      <c r="GH4646" s="84"/>
    </row>
    <row r="4647" spans="187:190" s="2" customFormat="1" ht="18" customHeight="1" x14ac:dyDescent="0.2">
      <c r="GE4647" s="84"/>
      <c r="GF4647" s="84"/>
      <c r="GG4647" s="84"/>
      <c r="GH4647" s="84"/>
    </row>
    <row r="4648" spans="187:190" s="2" customFormat="1" ht="18" customHeight="1" x14ac:dyDescent="0.2">
      <c r="GE4648" s="84"/>
      <c r="GF4648" s="84"/>
      <c r="GG4648" s="84"/>
      <c r="GH4648" s="84"/>
    </row>
    <row r="4649" spans="187:190" s="2" customFormat="1" ht="18" customHeight="1" x14ac:dyDescent="0.2">
      <c r="GE4649" s="84"/>
      <c r="GF4649" s="84"/>
      <c r="GG4649" s="84"/>
      <c r="GH4649" s="84"/>
    </row>
    <row r="4650" spans="187:190" s="2" customFormat="1" ht="18" customHeight="1" x14ac:dyDescent="0.2">
      <c r="GE4650" s="84"/>
      <c r="GF4650" s="84"/>
      <c r="GG4650" s="84"/>
      <c r="GH4650" s="84"/>
    </row>
    <row r="4651" spans="187:190" s="2" customFormat="1" ht="18" customHeight="1" x14ac:dyDescent="0.2">
      <c r="GE4651" s="84"/>
      <c r="GF4651" s="84"/>
      <c r="GG4651" s="84"/>
      <c r="GH4651" s="84"/>
    </row>
    <row r="4652" spans="187:190" s="2" customFormat="1" ht="18" customHeight="1" x14ac:dyDescent="0.2">
      <c r="GE4652" s="84"/>
      <c r="GF4652" s="84"/>
      <c r="GG4652" s="84"/>
      <c r="GH4652" s="84"/>
    </row>
    <row r="4653" spans="187:190" s="2" customFormat="1" ht="18" customHeight="1" x14ac:dyDescent="0.2">
      <c r="GE4653" s="84"/>
      <c r="GF4653" s="84"/>
      <c r="GG4653" s="84"/>
      <c r="GH4653" s="84"/>
    </row>
    <row r="4654" spans="187:190" s="2" customFormat="1" ht="18" customHeight="1" x14ac:dyDescent="0.2">
      <c r="GE4654" s="84"/>
      <c r="GF4654" s="84"/>
      <c r="GG4654" s="84"/>
      <c r="GH4654" s="84"/>
    </row>
    <row r="4655" spans="187:190" s="2" customFormat="1" ht="18" customHeight="1" x14ac:dyDescent="0.2">
      <c r="GE4655" s="84"/>
      <c r="GF4655" s="84"/>
      <c r="GG4655" s="84"/>
      <c r="GH4655" s="84"/>
    </row>
    <row r="4656" spans="187:190" s="2" customFormat="1" ht="18" customHeight="1" x14ac:dyDescent="0.2">
      <c r="GE4656" s="84"/>
      <c r="GF4656" s="84"/>
      <c r="GG4656" s="84"/>
      <c r="GH4656" s="84"/>
    </row>
    <row r="4657" spans="187:190" s="2" customFormat="1" ht="18" customHeight="1" x14ac:dyDescent="0.2">
      <c r="GE4657" s="84"/>
      <c r="GF4657" s="84"/>
      <c r="GG4657" s="84"/>
      <c r="GH4657" s="84"/>
    </row>
    <row r="4658" spans="187:190" s="2" customFormat="1" ht="18" customHeight="1" x14ac:dyDescent="0.2">
      <c r="GE4658" s="84"/>
      <c r="GF4658" s="84"/>
      <c r="GG4658" s="84"/>
      <c r="GH4658" s="84"/>
    </row>
    <row r="4659" spans="187:190" s="2" customFormat="1" ht="18" customHeight="1" x14ac:dyDescent="0.2">
      <c r="GE4659" s="84"/>
      <c r="GF4659" s="84"/>
      <c r="GG4659" s="84"/>
      <c r="GH4659" s="84"/>
    </row>
    <row r="4660" spans="187:190" s="2" customFormat="1" ht="18" customHeight="1" x14ac:dyDescent="0.2">
      <c r="GE4660" s="84"/>
      <c r="GF4660" s="84"/>
      <c r="GG4660" s="84"/>
      <c r="GH4660" s="84"/>
    </row>
    <row r="4661" spans="187:190" s="2" customFormat="1" ht="18" customHeight="1" x14ac:dyDescent="0.2">
      <c r="GE4661" s="84"/>
      <c r="GF4661" s="84"/>
      <c r="GG4661" s="84"/>
      <c r="GH4661" s="84"/>
    </row>
    <row r="4662" spans="187:190" s="2" customFormat="1" ht="18" customHeight="1" x14ac:dyDescent="0.2">
      <c r="GE4662" s="84"/>
      <c r="GF4662" s="84"/>
      <c r="GG4662" s="84"/>
      <c r="GH4662" s="84"/>
    </row>
    <row r="4663" spans="187:190" s="2" customFormat="1" ht="18" customHeight="1" x14ac:dyDescent="0.2">
      <c r="GE4663" s="84"/>
      <c r="GF4663" s="84"/>
      <c r="GG4663" s="84"/>
      <c r="GH4663" s="84"/>
    </row>
    <row r="4664" spans="187:190" s="2" customFormat="1" ht="18" customHeight="1" x14ac:dyDescent="0.2">
      <c r="GE4664" s="84"/>
      <c r="GF4664" s="84"/>
      <c r="GG4664" s="84"/>
      <c r="GH4664" s="84"/>
    </row>
    <row r="4665" spans="187:190" s="2" customFormat="1" ht="18" customHeight="1" x14ac:dyDescent="0.2">
      <c r="GE4665" s="84"/>
      <c r="GF4665" s="84"/>
      <c r="GG4665" s="84"/>
      <c r="GH4665" s="84"/>
    </row>
    <row r="4666" spans="187:190" s="2" customFormat="1" ht="18" customHeight="1" x14ac:dyDescent="0.2">
      <c r="GE4666" s="84"/>
      <c r="GF4666" s="84"/>
      <c r="GG4666" s="84"/>
      <c r="GH4666" s="84"/>
    </row>
    <row r="4667" spans="187:190" s="2" customFormat="1" ht="18" customHeight="1" x14ac:dyDescent="0.2">
      <c r="GE4667" s="84"/>
      <c r="GF4667" s="84"/>
      <c r="GG4667" s="84"/>
      <c r="GH4667" s="84"/>
    </row>
    <row r="4668" spans="187:190" s="2" customFormat="1" ht="18" customHeight="1" x14ac:dyDescent="0.2">
      <c r="GE4668" s="84"/>
      <c r="GF4668" s="84"/>
      <c r="GG4668" s="84"/>
      <c r="GH4668" s="84"/>
    </row>
    <row r="4669" spans="187:190" s="2" customFormat="1" ht="18" customHeight="1" x14ac:dyDescent="0.2">
      <c r="GE4669" s="84"/>
      <c r="GF4669" s="84"/>
      <c r="GG4669" s="84"/>
      <c r="GH4669" s="84"/>
    </row>
    <row r="4670" spans="187:190" s="2" customFormat="1" ht="18" customHeight="1" x14ac:dyDescent="0.2">
      <c r="GE4670" s="84"/>
      <c r="GF4670" s="84"/>
      <c r="GG4670" s="84"/>
      <c r="GH4670" s="84"/>
    </row>
    <row r="4671" spans="187:190" s="2" customFormat="1" ht="18" customHeight="1" x14ac:dyDescent="0.2">
      <c r="GE4671" s="84"/>
      <c r="GF4671" s="84"/>
      <c r="GG4671" s="84"/>
      <c r="GH4671" s="84"/>
    </row>
    <row r="4672" spans="187:190" s="2" customFormat="1" ht="18" customHeight="1" x14ac:dyDescent="0.2">
      <c r="GE4672" s="84"/>
      <c r="GF4672" s="84"/>
      <c r="GG4672" s="84"/>
      <c r="GH4672" s="84"/>
    </row>
    <row r="4673" spans="187:190" s="2" customFormat="1" ht="18" customHeight="1" x14ac:dyDescent="0.2">
      <c r="GE4673" s="84"/>
      <c r="GF4673" s="84"/>
      <c r="GG4673" s="84"/>
      <c r="GH4673" s="84"/>
    </row>
    <row r="4674" spans="187:190" s="2" customFormat="1" ht="18" customHeight="1" x14ac:dyDescent="0.2">
      <c r="GE4674" s="84"/>
      <c r="GF4674" s="84"/>
      <c r="GG4674" s="84"/>
      <c r="GH4674" s="84"/>
    </row>
    <row r="4675" spans="187:190" s="2" customFormat="1" ht="18" customHeight="1" x14ac:dyDescent="0.2">
      <c r="GE4675" s="84"/>
      <c r="GF4675" s="84"/>
      <c r="GG4675" s="84"/>
      <c r="GH4675" s="84"/>
    </row>
    <row r="4676" spans="187:190" s="2" customFormat="1" ht="18" customHeight="1" x14ac:dyDescent="0.2">
      <c r="GE4676" s="84"/>
      <c r="GF4676" s="84"/>
      <c r="GG4676" s="84"/>
      <c r="GH4676" s="84"/>
    </row>
    <row r="4677" spans="187:190" s="2" customFormat="1" ht="18" customHeight="1" x14ac:dyDescent="0.2">
      <c r="GE4677" s="84"/>
      <c r="GF4677" s="84"/>
      <c r="GG4677" s="84"/>
      <c r="GH4677" s="84"/>
    </row>
    <row r="4678" spans="187:190" s="2" customFormat="1" ht="18" customHeight="1" x14ac:dyDescent="0.2">
      <c r="GE4678" s="84"/>
      <c r="GF4678" s="84"/>
      <c r="GG4678" s="84"/>
      <c r="GH4678" s="84"/>
    </row>
    <row r="4679" spans="187:190" s="2" customFormat="1" ht="18" customHeight="1" x14ac:dyDescent="0.2">
      <c r="GE4679" s="84"/>
      <c r="GF4679" s="84"/>
      <c r="GG4679" s="84"/>
      <c r="GH4679" s="84"/>
    </row>
    <row r="4680" spans="187:190" s="2" customFormat="1" ht="18" customHeight="1" x14ac:dyDescent="0.2">
      <c r="GE4680" s="84"/>
      <c r="GF4680" s="84"/>
      <c r="GG4680" s="84"/>
      <c r="GH4680" s="84"/>
    </row>
    <row r="4681" spans="187:190" s="2" customFormat="1" ht="18" customHeight="1" x14ac:dyDescent="0.2">
      <c r="GE4681" s="84"/>
      <c r="GF4681" s="84"/>
      <c r="GG4681" s="84"/>
      <c r="GH4681" s="84"/>
    </row>
    <row r="4682" spans="187:190" s="2" customFormat="1" ht="18" customHeight="1" x14ac:dyDescent="0.2">
      <c r="GE4682" s="84"/>
      <c r="GF4682" s="84"/>
      <c r="GG4682" s="84"/>
      <c r="GH4682" s="84"/>
    </row>
    <row r="4683" spans="187:190" s="2" customFormat="1" ht="18" customHeight="1" x14ac:dyDescent="0.2">
      <c r="GE4683" s="84"/>
      <c r="GF4683" s="84"/>
      <c r="GG4683" s="84"/>
      <c r="GH4683" s="84"/>
    </row>
    <row r="4684" spans="187:190" s="2" customFormat="1" ht="18" customHeight="1" x14ac:dyDescent="0.2">
      <c r="GE4684" s="84"/>
      <c r="GF4684" s="84"/>
      <c r="GG4684" s="84"/>
      <c r="GH4684" s="84"/>
    </row>
    <row r="4685" spans="187:190" s="2" customFormat="1" ht="18" customHeight="1" x14ac:dyDescent="0.2">
      <c r="GE4685" s="84"/>
      <c r="GF4685" s="84"/>
      <c r="GG4685" s="84"/>
      <c r="GH4685" s="84"/>
    </row>
    <row r="4686" spans="187:190" s="2" customFormat="1" ht="18" customHeight="1" x14ac:dyDescent="0.2">
      <c r="GE4686" s="84"/>
      <c r="GF4686" s="84"/>
      <c r="GG4686" s="84"/>
      <c r="GH4686" s="84"/>
    </row>
    <row r="4687" spans="187:190" s="2" customFormat="1" ht="18" customHeight="1" x14ac:dyDescent="0.2">
      <c r="GE4687" s="84"/>
      <c r="GF4687" s="84"/>
      <c r="GG4687" s="84"/>
      <c r="GH4687" s="84"/>
    </row>
    <row r="4688" spans="187:190" s="2" customFormat="1" ht="18" customHeight="1" x14ac:dyDescent="0.2">
      <c r="GE4688" s="84"/>
      <c r="GF4688" s="84"/>
      <c r="GG4688" s="84"/>
      <c r="GH4688" s="84"/>
    </row>
    <row r="4689" spans="187:190" s="2" customFormat="1" ht="18" customHeight="1" x14ac:dyDescent="0.2">
      <c r="GE4689" s="84"/>
      <c r="GF4689" s="84"/>
      <c r="GG4689" s="84"/>
      <c r="GH4689" s="84"/>
    </row>
    <row r="4690" spans="187:190" s="2" customFormat="1" ht="18" customHeight="1" x14ac:dyDescent="0.2">
      <c r="GE4690" s="84"/>
      <c r="GF4690" s="84"/>
      <c r="GG4690" s="84"/>
      <c r="GH4690" s="84"/>
    </row>
    <row r="4691" spans="187:190" s="2" customFormat="1" ht="18" customHeight="1" x14ac:dyDescent="0.2">
      <c r="GE4691" s="84"/>
      <c r="GF4691" s="84"/>
      <c r="GG4691" s="84"/>
      <c r="GH4691" s="84"/>
    </row>
    <row r="4692" spans="187:190" s="2" customFormat="1" ht="18" customHeight="1" x14ac:dyDescent="0.2">
      <c r="GE4692" s="84"/>
      <c r="GF4692" s="84"/>
      <c r="GG4692" s="84"/>
      <c r="GH4692" s="84"/>
    </row>
    <row r="4693" spans="187:190" s="2" customFormat="1" ht="18" customHeight="1" x14ac:dyDescent="0.2">
      <c r="GE4693" s="84"/>
      <c r="GF4693" s="84"/>
      <c r="GG4693" s="84"/>
      <c r="GH4693" s="84"/>
    </row>
    <row r="4694" spans="187:190" s="2" customFormat="1" ht="18" customHeight="1" x14ac:dyDescent="0.2">
      <c r="GE4694" s="84"/>
      <c r="GF4694" s="84"/>
      <c r="GG4694" s="84"/>
      <c r="GH4694" s="84"/>
    </row>
    <row r="4695" spans="187:190" s="2" customFormat="1" ht="18" customHeight="1" x14ac:dyDescent="0.2">
      <c r="GE4695" s="84"/>
      <c r="GF4695" s="84"/>
      <c r="GG4695" s="84"/>
      <c r="GH4695" s="84"/>
    </row>
    <row r="4696" spans="187:190" s="2" customFormat="1" ht="18" customHeight="1" x14ac:dyDescent="0.2">
      <c r="GE4696" s="84"/>
      <c r="GF4696" s="84"/>
      <c r="GG4696" s="84"/>
      <c r="GH4696" s="84"/>
    </row>
    <row r="4697" spans="187:190" s="2" customFormat="1" ht="18" customHeight="1" x14ac:dyDescent="0.2">
      <c r="GE4697" s="84"/>
      <c r="GF4697" s="84"/>
      <c r="GG4697" s="84"/>
      <c r="GH4697" s="84"/>
    </row>
    <row r="4698" spans="187:190" s="2" customFormat="1" ht="18" customHeight="1" x14ac:dyDescent="0.2">
      <c r="GE4698" s="84"/>
      <c r="GF4698" s="84"/>
      <c r="GG4698" s="84"/>
      <c r="GH4698" s="84"/>
    </row>
    <row r="4699" spans="187:190" s="2" customFormat="1" ht="18" customHeight="1" x14ac:dyDescent="0.2">
      <c r="GE4699" s="84"/>
      <c r="GF4699" s="84"/>
      <c r="GG4699" s="84"/>
      <c r="GH4699" s="84"/>
    </row>
    <row r="4700" spans="187:190" s="2" customFormat="1" ht="18" customHeight="1" x14ac:dyDescent="0.2">
      <c r="GE4700" s="84"/>
      <c r="GF4700" s="84"/>
      <c r="GG4700" s="84"/>
      <c r="GH4700" s="84"/>
    </row>
    <row r="4701" spans="187:190" s="2" customFormat="1" ht="18" customHeight="1" x14ac:dyDescent="0.2">
      <c r="GE4701" s="84"/>
      <c r="GF4701" s="84"/>
      <c r="GG4701" s="84"/>
      <c r="GH4701" s="84"/>
    </row>
    <row r="4702" spans="187:190" s="2" customFormat="1" ht="18" customHeight="1" x14ac:dyDescent="0.2">
      <c r="GE4702" s="84"/>
      <c r="GF4702" s="84"/>
      <c r="GG4702" s="84"/>
      <c r="GH4702" s="84"/>
    </row>
    <row r="4703" spans="187:190" s="2" customFormat="1" ht="18" customHeight="1" x14ac:dyDescent="0.2">
      <c r="GE4703" s="84"/>
      <c r="GF4703" s="84"/>
      <c r="GG4703" s="84"/>
      <c r="GH4703" s="84"/>
    </row>
    <row r="4704" spans="187:190" s="2" customFormat="1" ht="18" customHeight="1" x14ac:dyDescent="0.2">
      <c r="GE4704" s="84"/>
      <c r="GF4704" s="84"/>
      <c r="GG4704" s="84"/>
      <c r="GH4704" s="84"/>
    </row>
    <row r="4705" spans="187:190" s="2" customFormat="1" ht="18" customHeight="1" x14ac:dyDescent="0.2">
      <c r="GE4705" s="84"/>
      <c r="GF4705" s="84"/>
      <c r="GG4705" s="84"/>
      <c r="GH4705" s="84"/>
    </row>
    <row r="4706" spans="187:190" s="2" customFormat="1" ht="18" customHeight="1" x14ac:dyDescent="0.2">
      <c r="GE4706" s="84"/>
      <c r="GF4706" s="84"/>
      <c r="GG4706" s="84"/>
      <c r="GH4706" s="84"/>
    </row>
    <row r="4707" spans="187:190" s="2" customFormat="1" ht="18" customHeight="1" x14ac:dyDescent="0.2">
      <c r="GE4707" s="84"/>
      <c r="GF4707" s="84"/>
      <c r="GG4707" s="84"/>
      <c r="GH4707" s="84"/>
    </row>
    <row r="4708" spans="187:190" s="2" customFormat="1" ht="18" customHeight="1" x14ac:dyDescent="0.2">
      <c r="GE4708" s="84"/>
      <c r="GF4708" s="84"/>
      <c r="GG4708" s="84"/>
      <c r="GH4708" s="84"/>
    </row>
    <row r="4709" spans="187:190" s="2" customFormat="1" ht="18" customHeight="1" x14ac:dyDescent="0.2">
      <c r="GE4709" s="84"/>
      <c r="GF4709" s="84"/>
      <c r="GG4709" s="84"/>
      <c r="GH4709" s="84"/>
    </row>
    <row r="4710" spans="187:190" s="2" customFormat="1" ht="18" customHeight="1" x14ac:dyDescent="0.2">
      <c r="GE4710" s="84"/>
      <c r="GF4710" s="84"/>
      <c r="GG4710" s="84"/>
      <c r="GH4710" s="84"/>
    </row>
    <row r="4711" spans="187:190" s="2" customFormat="1" ht="18" customHeight="1" x14ac:dyDescent="0.2">
      <c r="GE4711" s="84"/>
      <c r="GF4711" s="84"/>
      <c r="GG4711" s="84"/>
      <c r="GH4711" s="84"/>
    </row>
    <row r="4712" spans="187:190" s="2" customFormat="1" ht="18" customHeight="1" x14ac:dyDescent="0.2">
      <c r="GE4712" s="84"/>
      <c r="GF4712" s="84"/>
      <c r="GG4712" s="84"/>
      <c r="GH4712" s="84"/>
    </row>
    <row r="4713" spans="187:190" s="2" customFormat="1" ht="18" customHeight="1" x14ac:dyDescent="0.2">
      <c r="GE4713" s="84"/>
      <c r="GF4713" s="84"/>
      <c r="GG4713" s="84"/>
      <c r="GH4713" s="84"/>
    </row>
    <row r="4714" spans="187:190" s="2" customFormat="1" ht="18" customHeight="1" x14ac:dyDescent="0.2">
      <c r="GE4714" s="84"/>
      <c r="GF4714" s="84"/>
      <c r="GG4714" s="84"/>
      <c r="GH4714" s="84"/>
    </row>
    <row r="4715" spans="187:190" s="2" customFormat="1" ht="18" customHeight="1" x14ac:dyDescent="0.2">
      <c r="GE4715" s="84"/>
      <c r="GF4715" s="84"/>
      <c r="GG4715" s="84"/>
      <c r="GH4715" s="84"/>
    </row>
    <row r="4716" spans="187:190" s="2" customFormat="1" ht="18" customHeight="1" x14ac:dyDescent="0.2">
      <c r="GE4716" s="84"/>
      <c r="GF4716" s="84"/>
      <c r="GG4716" s="84"/>
      <c r="GH4716" s="84"/>
    </row>
    <row r="4717" spans="187:190" s="2" customFormat="1" ht="18" customHeight="1" x14ac:dyDescent="0.2">
      <c r="GE4717" s="84"/>
      <c r="GF4717" s="84"/>
      <c r="GG4717" s="84"/>
      <c r="GH4717" s="84"/>
    </row>
    <row r="4718" spans="187:190" s="2" customFormat="1" ht="18" customHeight="1" x14ac:dyDescent="0.2">
      <c r="GE4718" s="84"/>
      <c r="GF4718" s="84"/>
      <c r="GG4718" s="84"/>
      <c r="GH4718" s="84"/>
    </row>
    <row r="4719" spans="187:190" s="2" customFormat="1" ht="18" customHeight="1" x14ac:dyDescent="0.2">
      <c r="GE4719" s="84"/>
      <c r="GF4719" s="84"/>
      <c r="GG4719" s="84"/>
      <c r="GH4719" s="84"/>
    </row>
    <row r="4720" spans="187:190" s="2" customFormat="1" ht="18" customHeight="1" x14ac:dyDescent="0.2">
      <c r="GE4720" s="84"/>
      <c r="GF4720" s="84"/>
      <c r="GG4720" s="84"/>
      <c r="GH4720" s="84"/>
    </row>
    <row r="4721" spans="187:190" s="2" customFormat="1" ht="18" customHeight="1" x14ac:dyDescent="0.2">
      <c r="GE4721" s="84"/>
      <c r="GF4721" s="84"/>
      <c r="GG4721" s="84"/>
      <c r="GH4721" s="84"/>
    </row>
    <row r="4722" spans="187:190" s="2" customFormat="1" ht="18" customHeight="1" x14ac:dyDescent="0.2">
      <c r="GE4722" s="84"/>
      <c r="GF4722" s="84"/>
      <c r="GG4722" s="84"/>
      <c r="GH4722" s="84"/>
    </row>
    <row r="4723" spans="187:190" s="2" customFormat="1" ht="18" customHeight="1" x14ac:dyDescent="0.2">
      <c r="GE4723" s="84"/>
      <c r="GF4723" s="84"/>
      <c r="GG4723" s="84"/>
      <c r="GH4723" s="84"/>
    </row>
    <row r="4724" spans="187:190" s="2" customFormat="1" ht="18" customHeight="1" x14ac:dyDescent="0.2">
      <c r="GE4724" s="84"/>
      <c r="GF4724" s="84"/>
      <c r="GG4724" s="84"/>
      <c r="GH4724" s="84"/>
    </row>
    <row r="4725" spans="187:190" s="2" customFormat="1" ht="18" customHeight="1" x14ac:dyDescent="0.2">
      <c r="GE4725" s="84"/>
      <c r="GF4725" s="84"/>
      <c r="GG4725" s="84"/>
      <c r="GH4725" s="84"/>
    </row>
    <row r="4726" spans="187:190" s="2" customFormat="1" ht="18" customHeight="1" x14ac:dyDescent="0.2">
      <c r="GE4726" s="84"/>
      <c r="GF4726" s="84"/>
      <c r="GG4726" s="84"/>
      <c r="GH4726" s="84"/>
    </row>
    <row r="4727" spans="187:190" s="2" customFormat="1" ht="18" customHeight="1" x14ac:dyDescent="0.2">
      <c r="GE4727" s="84"/>
      <c r="GF4727" s="84"/>
      <c r="GG4727" s="84"/>
      <c r="GH4727" s="84"/>
    </row>
    <row r="4728" spans="187:190" s="2" customFormat="1" ht="18" customHeight="1" x14ac:dyDescent="0.2">
      <c r="GE4728" s="84"/>
      <c r="GF4728" s="84"/>
      <c r="GG4728" s="84"/>
      <c r="GH4728" s="84"/>
    </row>
    <row r="4729" spans="187:190" s="2" customFormat="1" ht="18" customHeight="1" x14ac:dyDescent="0.2">
      <c r="GE4729" s="84"/>
      <c r="GF4729" s="84"/>
      <c r="GG4729" s="84"/>
      <c r="GH4729" s="84"/>
    </row>
    <row r="4730" spans="187:190" s="2" customFormat="1" ht="18" customHeight="1" x14ac:dyDescent="0.2">
      <c r="GE4730" s="84"/>
      <c r="GF4730" s="84"/>
      <c r="GG4730" s="84"/>
      <c r="GH4730" s="84"/>
    </row>
    <row r="4731" spans="187:190" s="2" customFormat="1" ht="18" customHeight="1" x14ac:dyDescent="0.2">
      <c r="GE4731" s="84"/>
      <c r="GF4731" s="84"/>
      <c r="GG4731" s="84"/>
      <c r="GH4731" s="84"/>
    </row>
    <row r="4732" spans="187:190" s="2" customFormat="1" ht="18" customHeight="1" x14ac:dyDescent="0.2">
      <c r="GE4732" s="84"/>
      <c r="GF4732" s="84"/>
      <c r="GG4732" s="84"/>
      <c r="GH4732" s="84"/>
    </row>
    <row r="4733" spans="187:190" s="2" customFormat="1" ht="18" customHeight="1" x14ac:dyDescent="0.2">
      <c r="GE4733" s="84"/>
      <c r="GF4733" s="84"/>
      <c r="GG4733" s="84"/>
      <c r="GH4733" s="84"/>
    </row>
    <row r="4734" spans="187:190" s="2" customFormat="1" ht="18" customHeight="1" x14ac:dyDescent="0.2">
      <c r="GE4734" s="84"/>
      <c r="GF4734" s="84"/>
      <c r="GG4734" s="84"/>
      <c r="GH4734" s="84"/>
    </row>
    <row r="4735" spans="187:190" s="2" customFormat="1" ht="18" customHeight="1" x14ac:dyDescent="0.2">
      <c r="GE4735" s="84"/>
      <c r="GF4735" s="84"/>
      <c r="GG4735" s="84"/>
      <c r="GH4735" s="84"/>
    </row>
    <row r="4736" spans="187:190" s="2" customFormat="1" ht="18" customHeight="1" x14ac:dyDescent="0.2">
      <c r="GE4736" s="84"/>
      <c r="GF4736" s="84"/>
      <c r="GG4736" s="84"/>
      <c r="GH4736" s="84"/>
    </row>
    <row r="4737" spans="187:190" s="2" customFormat="1" ht="18" customHeight="1" x14ac:dyDescent="0.2">
      <c r="GE4737" s="84"/>
      <c r="GF4737" s="84"/>
      <c r="GG4737" s="84"/>
      <c r="GH4737" s="84"/>
    </row>
    <row r="4738" spans="187:190" s="2" customFormat="1" ht="18" customHeight="1" x14ac:dyDescent="0.2">
      <c r="GE4738" s="84"/>
      <c r="GF4738" s="84"/>
      <c r="GG4738" s="84"/>
      <c r="GH4738" s="84"/>
    </row>
    <row r="4739" spans="187:190" s="2" customFormat="1" ht="18" customHeight="1" x14ac:dyDescent="0.2">
      <c r="GE4739" s="84"/>
      <c r="GF4739" s="84"/>
      <c r="GG4739" s="84"/>
      <c r="GH4739" s="84"/>
    </row>
    <row r="4740" spans="187:190" s="2" customFormat="1" ht="18" customHeight="1" x14ac:dyDescent="0.2">
      <c r="GE4740" s="84"/>
      <c r="GF4740" s="84"/>
      <c r="GG4740" s="84"/>
      <c r="GH4740" s="84"/>
    </row>
    <row r="4741" spans="187:190" s="2" customFormat="1" ht="18" customHeight="1" x14ac:dyDescent="0.2">
      <c r="GE4741" s="84"/>
      <c r="GF4741" s="84"/>
      <c r="GG4741" s="84"/>
      <c r="GH4741" s="84"/>
    </row>
    <row r="4742" spans="187:190" s="2" customFormat="1" ht="18" customHeight="1" x14ac:dyDescent="0.2">
      <c r="GE4742" s="84"/>
      <c r="GF4742" s="84"/>
      <c r="GG4742" s="84"/>
      <c r="GH4742" s="84"/>
    </row>
    <row r="4743" spans="187:190" s="2" customFormat="1" ht="18" customHeight="1" x14ac:dyDescent="0.2">
      <c r="GE4743" s="84"/>
      <c r="GF4743" s="84"/>
      <c r="GG4743" s="84"/>
      <c r="GH4743" s="84"/>
    </row>
    <row r="4744" spans="187:190" s="2" customFormat="1" ht="18" customHeight="1" x14ac:dyDescent="0.2">
      <c r="GE4744" s="84"/>
      <c r="GF4744" s="84"/>
      <c r="GG4744" s="84"/>
      <c r="GH4744" s="84"/>
    </row>
    <row r="4745" spans="187:190" s="2" customFormat="1" ht="18" customHeight="1" x14ac:dyDescent="0.2">
      <c r="GE4745" s="84"/>
      <c r="GF4745" s="84"/>
      <c r="GG4745" s="84"/>
      <c r="GH4745" s="84"/>
    </row>
    <row r="4746" spans="187:190" s="2" customFormat="1" ht="18" customHeight="1" x14ac:dyDescent="0.2">
      <c r="GE4746" s="84"/>
      <c r="GF4746" s="84"/>
      <c r="GG4746" s="84"/>
      <c r="GH4746" s="84"/>
    </row>
    <row r="4747" spans="187:190" s="2" customFormat="1" ht="18" customHeight="1" x14ac:dyDescent="0.2">
      <c r="GE4747" s="84"/>
      <c r="GF4747" s="84"/>
      <c r="GG4747" s="84"/>
      <c r="GH4747" s="84"/>
    </row>
    <row r="4748" spans="187:190" s="2" customFormat="1" ht="18" customHeight="1" x14ac:dyDescent="0.2">
      <c r="GE4748" s="84"/>
      <c r="GF4748" s="84"/>
      <c r="GG4748" s="84"/>
      <c r="GH4748" s="84"/>
    </row>
    <row r="4749" spans="187:190" s="2" customFormat="1" ht="18" customHeight="1" x14ac:dyDescent="0.2">
      <c r="GE4749" s="84"/>
      <c r="GF4749" s="84"/>
      <c r="GG4749" s="84"/>
      <c r="GH4749" s="84"/>
    </row>
    <row r="4750" spans="187:190" s="2" customFormat="1" ht="18" customHeight="1" x14ac:dyDescent="0.2">
      <c r="GE4750" s="84"/>
      <c r="GF4750" s="84"/>
      <c r="GG4750" s="84"/>
      <c r="GH4750" s="84"/>
    </row>
    <row r="4751" spans="187:190" s="2" customFormat="1" ht="18" customHeight="1" x14ac:dyDescent="0.2">
      <c r="GE4751" s="84"/>
      <c r="GF4751" s="84"/>
      <c r="GG4751" s="84"/>
      <c r="GH4751" s="84"/>
    </row>
    <row r="4752" spans="187:190" s="2" customFormat="1" ht="18" customHeight="1" x14ac:dyDescent="0.2">
      <c r="GE4752" s="84"/>
      <c r="GF4752" s="84"/>
      <c r="GG4752" s="84"/>
      <c r="GH4752" s="84"/>
    </row>
    <row r="4753" spans="187:190" s="2" customFormat="1" ht="18" customHeight="1" x14ac:dyDescent="0.2">
      <c r="GE4753" s="84"/>
      <c r="GF4753" s="84"/>
      <c r="GG4753" s="84"/>
      <c r="GH4753" s="84"/>
    </row>
    <row r="4754" spans="187:190" s="2" customFormat="1" ht="18" customHeight="1" x14ac:dyDescent="0.2">
      <c r="GE4754" s="84"/>
      <c r="GF4754" s="84"/>
      <c r="GG4754" s="84"/>
      <c r="GH4754" s="84"/>
    </row>
    <row r="4755" spans="187:190" s="2" customFormat="1" ht="18" customHeight="1" x14ac:dyDescent="0.2">
      <c r="GE4755" s="84"/>
      <c r="GF4755" s="84"/>
      <c r="GG4755" s="84"/>
      <c r="GH4755" s="84"/>
    </row>
    <row r="4756" spans="187:190" s="2" customFormat="1" ht="18" customHeight="1" x14ac:dyDescent="0.2">
      <c r="GE4756" s="84"/>
      <c r="GF4756" s="84"/>
      <c r="GG4756" s="84"/>
      <c r="GH4756" s="84"/>
    </row>
    <row r="4757" spans="187:190" s="2" customFormat="1" ht="18" customHeight="1" x14ac:dyDescent="0.2">
      <c r="GE4757" s="84"/>
      <c r="GF4757" s="84"/>
      <c r="GG4757" s="84"/>
      <c r="GH4757" s="84"/>
    </row>
    <row r="4758" spans="187:190" s="2" customFormat="1" ht="18" customHeight="1" x14ac:dyDescent="0.2">
      <c r="GE4758" s="84"/>
      <c r="GF4758" s="84"/>
      <c r="GG4758" s="84"/>
      <c r="GH4758" s="84"/>
    </row>
    <row r="4759" spans="187:190" s="2" customFormat="1" ht="18" customHeight="1" x14ac:dyDescent="0.2">
      <c r="GE4759" s="84"/>
      <c r="GF4759" s="84"/>
      <c r="GG4759" s="84"/>
      <c r="GH4759" s="84"/>
    </row>
    <row r="4760" spans="187:190" s="2" customFormat="1" ht="18" customHeight="1" x14ac:dyDescent="0.2">
      <c r="GE4760" s="84"/>
      <c r="GF4760" s="84"/>
      <c r="GG4760" s="84"/>
      <c r="GH4760" s="84"/>
    </row>
    <row r="4761" spans="187:190" s="2" customFormat="1" ht="18" customHeight="1" x14ac:dyDescent="0.2">
      <c r="GE4761" s="84"/>
      <c r="GF4761" s="84"/>
      <c r="GG4761" s="84"/>
      <c r="GH4761" s="84"/>
    </row>
    <row r="4762" spans="187:190" s="2" customFormat="1" ht="18" customHeight="1" x14ac:dyDescent="0.2">
      <c r="GE4762" s="84"/>
      <c r="GF4762" s="84"/>
      <c r="GG4762" s="84"/>
      <c r="GH4762" s="84"/>
    </row>
    <row r="4763" spans="187:190" s="2" customFormat="1" ht="18" customHeight="1" x14ac:dyDescent="0.2">
      <c r="GE4763" s="84"/>
      <c r="GF4763" s="84"/>
      <c r="GG4763" s="84"/>
      <c r="GH4763" s="84"/>
    </row>
    <row r="4764" spans="187:190" s="2" customFormat="1" ht="18" customHeight="1" x14ac:dyDescent="0.2">
      <c r="GE4764" s="84"/>
      <c r="GF4764" s="84"/>
      <c r="GG4764" s="84"/>
      <c r="GH4764" s="84"/>
    </row>
    <row r="4765" spans="187:190" s="2" customFormat="1" ht="18" customHeight="1" x14ac:dyDescent="0.2">
      <c r="GE4765" s="84"/>
      <c r="GF4765" s="84"/>
      <c r="GG4765" s="84"/>
      <c r="GH4765" s="84"/>
    </row>
    <row r="4766" spans="187:190" s="2" customFormat="1" ht="18" customHeight="1" x14ac:dyDescent="0.2">
      <c r="GE4766" s="84"/>
      <c r="GF4766" s="84"/>
      <c r="GG4766" s="84"/>
      <c r="GH4766" s="84"/>
    </row>
    <row r="4767" spans="187:190" s="2" customFormat="1" ht="18" customHeight="1" x14ac:dyDescent="0.2">
      <c r="GE4767" s="84"/>
      <c r="GF4767" s="84"/>
      <c r="GG4767" s="84"/>
      <c r="GH4767" s="84"/>
    </row>
    <row r="4768" spans="187:190" s="2" customFormat="1" ht="18" customHeight="1" x14ac:dyDescent="0.2">
      <c r="GE4768" s="84"/>
      <c r="GF4768" s="84"/>
      <c r="GG4768" s="84"/>
      <c r="GH4768" s="84"/>
    </row>
    <row r="4769" spans="187:190" s="2" customFormat="1" ht="18" customHeight="1" x14ac:dyDescent="0.2">
      <c r="GE4769" s="84"/>
      <c r="GF4769" s="84"/>
      <c r="GG4769" s="84"/>
      <c r="GH4769" s="84"/>
    </row>
    <row r="4770" spans="187:190" s="2" customFormat="1" ht="18" customHeight="1" x14ac:dyDescent="0.2">
      <c r="GE4770" s="84"/>
      <c r="GF4770" s="84"/>
      <c r="GG4770" s="84"/>
      <c r="GH4770" s="84"/>
    </row>
    <row r="4771" spans="187:190" s="2" customFormat="1" ht="18" customHeight="1" x14ac:dyDescent="0.2">
      <c r="GE4771" s="84"/>
      <c r="GF4771" s="84"/>
      <c r="GG4771" s="84"/>
      <c r="GH4771" s="84"/>
    </row>
    <row r="4772" spans="187:190" s="2" customFormat="1" ht="18" customHeight="1" x14ac:dyDescent="0.2">
      <c r="GE4772" s="84"/>
      <c r="GF4772" s="84"/>
      <c r="GG4772" s="84"/>
      <c r="GH4772" s="84"/>
    </row>
    <row r="4773" spans="187:190" s="2" customFormat="1" ht="18" customHeight="1" x14ac:dyDescent="0.2">
      <c r="GE4773" s="84"/>
      <c r="GF4773" s="84"/>
      <c r="GG4773" s="84"/>
      <c r="GH4773" s="84"/>
    </row>
    <row r="4774" spans="187:190" s="2" customFormat="1" ht="18" customHeight="1" x14ac:dyDescent="0.2">
      <c r="GE4774" s="84"/>
      <c r="GF4774" s="84"/>
      <c r="GG4774" s="84"/>
      <c r="GH4774" s="84"/>
    </row>
    <row r="4775" spans="187:190" s="2" customFormat="1" ht="18" customHeight="1" x14ac:dyDescent="0.2">
      <c r="GE4775" s="84"/>
      <c r="GF4775" s="84"/>
      <c r="GG4775" s="84"/>
      <c r="GH4775" s="84"/>
    </row>
    <row r="4776" spans="187:190" s="2" customFormat="1" ht="18" customHeight="1" x14ac:dyDescent="0.2">
      <c r="GE4776" s="84"/>
      <c r="GF4776" s="84"/>
      <c r="GG4776" s="84"/>
      <c r="GH4776" s="84"/>
    </row>
    <row r="4777" spans="187:190" s="2" customFormat="1" ht="18" customHeight="1" x14ac:dyDescent="0.2">
      <c r="GE4777" s="84"/>
      <c r="GF4777" s="84"/>
      <c r="GG4777" s="84"/>
      <c r="GH4777" s="84"/>
    </row>
    <row r="4778" spans="187:190" s="2" customFormat="1" ht="18" customHeight="1" x14ac:dyDescent="0.2">
      <c r="GE4778" s="84"/>
      <c r="GF4778" s="84"/>
      <c r="GG4778" s="84"/>
      <c r="GH4778" s="84"/>
    </row>
    <row r="4779" spans="187:190" s="2" customFormat="1" ht="18" customHeight="1" x14ac:dyDescent="0.2">
      <c r="GE4779" s="84"/>
      <c r="GF4779" s="84"/>
      <c r="GG4779" s="84"/>
      <c r="GH4779" s="84"/>
    </row>
    <row r="4780" spans="187:190" s="2" customFormat="1" ht="18" customHeight="1" x14ac:dyDescent="0.2">
      <c r="GE4780" s="84"/>
      <c r="GF4780" s="84"/>
      <c r="GG4780" s="84"/>
      <c r="GH4780" s="84"/>
    </row>
    <row r="4781" spans="187:190" s="2" customFormat="1" ht="18" customHeight="1" x14ac:dyDescent="0.2">
      <c r="GE4781" s="84"/>
      <c r="GF4781" s="84"/>
      <c r="GG4781" s="84"/>
      <c r="GH4781" s="84"/>
    </row>
    <row r="4782" spans="187:190" s="2" customFormat="1" ht="18" customHeight="1" x14ac:dyDescent="0.2">
      <c r="GE4782" s="84"/>
      <c r="GF4782" s="84"/>
      <c r="GG4782" s="84"/>
      <c r="GH4782" s="84"/>
    </row>
    <row r="4783" spans="187:190" s="2" customFormat="1" ht="18" customHeight="1" x14ac:dyDescent="0.2">
      <c r="GE4783" s="84"/>
      <c r="GF4783" s="84"/>
      <c r="GG4783" s="84"/>
      <c r="GH4783" s="84"/>
    </row>
    <row r="4784" spans="187:190" s="2" customFormat="1" ht="18" customHeight="1" x14ac:dyDescent="0.2">
      <c r="GE4784" s="84"/>
      <c r="GF4784" s="84"/>
      <c r="GG4784" s="84"/>
      <c r="GH4784" s="84"/>
    </row>
    <row r="4785" spans="187:190" s="2" customFormat="1" ht="18" customHeight="1" x14ac:dyDescent="0.2">
      <c r="GE4785" s="84"/>
      <c r="GF4785" s="84"/>
      <c r="GG4785" s="84"/>
      <c r="GH4785" s="84"/>
    </row>
    <row r="4786" spans="187:190" s="2" customFormat="1" ht="18" customHeight="1" x14ac:dyDescent="0.2">
      <c r="GE4786" s="84"/>
      <c r="GF4786" s="84"/>
      <c r="GG4786" s="84"/>
      <c r="GH4786" s="84"/>
    </row>
    <row r="4787" spans="187:190" s="2" customFormat="1" ht="18" customHeight="1" x14ac:dyDescent="0.2">
      <c r="GE4787" s="84"/>
      <c r="GF4787" s="84"/>
      <c r="GG4787" s="84"/>
      <c r="GH4787" s="84"/>
    </row>
    <row r="4788" spans="187:190" s="2" customFormat="1" ht="18" customHeight="1" x14ac:dyDescent="0.2">
      <c r="GE4788" s="84"/>
      <c r="GF4788" s="84"/>
      <c r="GG4788" s="84"/>
      <c r="GH4788" s="84"/>
    </row>
    <row r="4789" spans="187:190" s="2" customFormat="1" ht="18" customHeight="1" x14ac:dyDescent="0.2">
      <c r="GE4789" s="84"/>
      <c r="GF4789" s="84"/>
      <c r="GG4789" s="84"/>
      <c r="GH4789" s="84"/>
    </row>
    <row r="4790" spans="187:190" s="2" customFormat="1" ht="18" customHeight="1" x14ac:dyDescent="0.2">
      <c r="GE4790" s="84"/>
      <c r="GF4790" s="84"/>
      <c r="GG4790" s="84"/>
      <c r="GH4790" s="84"/>
    </row>
    <row r="4791" spans="187:190" s="2" customFormat="1" ht="18" customHeight="1" x14ac:dyDescent="0.2">
      <c r="GE4791" s="84"/>
      <c r="GF4791" s="84"/>
      <c r="GG4791" s="84"/>
      <c r="GH4791" s="84"/>
    </row>
    <row r="4792" spans="187:190" s="2" customFormat="1" ht="18" customHeight="1" x14ac:dyDescent="0.2">
      <c r="GE4792" s="84"/>
      <c r="GF4792" s="84"/>
      <c r="GG4792" s="84"/>
      <c r="GH4792" s="84"/>
    </row>
    <row r="4793" spans="187:190" s="2" customFormat="1" ht="18" customHeight="1" x14ac:dyDescent="0.2">
      <c r="GE4793" s="84"/>
      <c r="GF4793" s="84"/>
      <c r="GG4793" s="84"/>
      <c r="GH4793" s="84"/>
    </row>
    <row r="4794" spans="187:190" s="2" customFormat="1" ht="18" customHeight="1" x14ac:dyDescent="0.2">
      <c r="GE4794" s="84"/>
      <c r="GF4794" s="84"/>
      <c r="GG4794" s="84"/>
      <c r="GH4794" s="84"/>
    </row>
    <row r="4795" spans="187:190" s="2" customFormat="1" ht="18" customHeight="1" x14ac:dyDescent="0.2">
      <c r="GE4795" s="84"/>
      <c r="GF4795" s="84"/>
      <c r="GG4795" s="84"/>
      <c r="GH4795" s="84"/>
    </row>
    <row r="4796" spans="187:190" s="2" customFormat="1" ht="18" customHeight="1" x14ac:dyDescent="0.2">
      <c r="GE4796" s="84"/>
      <c r="GF4796" s="84"/>
      <c r="GG4796" s="84"/>
      <c r="GH4796" s="84"/>
    </row>
    <row r="4797" spans="187:190" s="2" customFormat="1" ht="18" customHeight="1" x14ac:dyDescent="0.2">
      <c r="GE4797" s="84"/>
      <c r="GF4797" s="84"/>
      <c r="GG4797" s="84"/>
      <c r="GH4797" s="84"/>
    </row>
    <row r="4798" spans="187:190" s="2" customFormat="1" ht="18" customHeight="1" x14ac:dyDescent="0.2">
      <c r="GE4798" s="84"/>
      <c r="GF4798" s="84"/>
      <c r="GG4798" s="84"/>
      <c r="GH4798" s="84"/>
    </row>
    <row r="4799" spans="187:190" s="2" customFormat="1" ht="18" customHeight="1" x14ac:dyDescent="0.2">
      <c r="GE4799" s="84"/>
      <c r="GF4799" s="84"/>
      <c r="GG4799" s="84"/>
      <c r="GH4799" s="84"/>
    </row>
    <row r="4800" spans="187:190" s="2" customFormat="1" ht="18" customHeight="1" x14ac:dyDescent="0.2">
      <c r="GE4800" s="84"/>
      <c r="GF4800" s="84"/>
      <c r="GG4800" s="84"/>
      <c r="GH4800" s="84"/>
    </row>
    <row r="4801" spans="187:190" s="2" customFormat="1" ht="18" customHeight="1" x14ac:dyDescent="0.2">
      <c r="GE4801" s="84"/>
      <c r="GF4801" s="84"/>
      <c r="GG4801" s="84"/>
      <c r="GH4801" s="84"/>
    </row>
    <row r="4802" spans="187:190" s="2" customFormat="1" ht="18" customHeight="1" x14ac:dyDescent="0.2">
      <c r="GE4802" s="84"/>
      <c r="GF4802" s="84"/>
      <c r="GG4802" s="84"/>
      <c r="GH4802" s="84"/>
    </row>
    <row r="4803" spans="187:190" s="2" customFormat="1" ht="18" customHeight="1" x14ac:dyDescent="0.2">
      <c r="GE4803" s="84"/>
      <c r="GF4803" s="84"/>
      <c r="GG4803" s="84"/>
      <c r="GH4803" s="84"/>
    </row>
    <row r="4804" spans="187:190" s="2" customFormat="1" ht="18" customHeight="1" x14ac:dyDescent="0.2">
      <c r="GE4804" s="84"/>
      <c r="GF4804" s="84"/>
      <c r="GG4804" s="84"/>
      <c r="GH4804" s="84"/>
    </row>
    <row r="4805" spans="187:190" s="2" customFormat="1" ht="18" customHeight="1" x14ac:dyDescent="0.2">
      <c r="GE4805" s="84"/>
      <c r="GF4805" s="84"/>
      <c r="GG4805" s="84"/>
      <c r="GH4805" s="84"/>
    </row>
    <row r="4806" spans="187:190" s="2" customFormat="1" ht="18" customHeight="1" x14ac:dyDescent="0.2">
      <c r="GE4806" s="84"/>
      <c r="GF4806" s="84"/>
      <c r="GG4806" s="84"/>
      <c r="GH4806" s="84"/>
    </row>
    <row r="4807" spans="187:190" s="2" customFormat="1" ht="18" customHeight="1" x14ac:dyDescent="0.2">
      <c r="GE4807" s="84"/>
      <c r="GF4807" s="84"/>
      <c r="GG4807" s="84"/>
      <c r="GH4807" s="84"/>
    </row>
    <row r="4808" spans="187:190" s="2" customFormat="1" ht="18" customHeight="1" x14ac:dyDescent="0.2">
      <c r="GE4808" s="84"/>
      <c r="GF4808" s="84"/>
      <c r="GG4808" s="84"/>
      <c r="GH4808" s="84"/>
    </row>
    <row r="4809" spans="187:190" s="2" customFormat="1" ht="18" customHeight="1" x14ac:dyDescent="0.2">
      <c r="GE4809" s="84"/>
      <c r="GF4809" s="84"/>
      <c r="GG4809" s="84"/>
      <c r="GH4809" s="84"/>
    </row>
    <row r="4810" spans="187:190" s="2" customFormat="1" ht="18" customHeight="1" x14ac:dyDescent="0.2">
      <c r="GE4810" s="84"/>
      <c r="GF4810" s="84"/>
      <c r="GG4810" s="84"/>
      <c r="GH4810" s="84"/>
    </row>
    <row r="4811" spans="187:190" s="2" customFormat="1" ht="18" customHeight="1" x14ac:dyDescent="0.2">
      <c r="GE4811" s="84"/>
      <c r="GF4811" s="84"/>
      <c r="GG4811" s="84"/>
      <c r="GH4811" s="84"/>
    </row>
    <row r="4812" spans="187:190" s="2" customFormat="1" ht="18" customHeight="1" x14ac:dyDescent="0.2">
      <c r="GE4812" s="84"/>
      <c r="GF4812" s="84"/>
      <c r="GG4812" s="84"/>
      <c r="GH4812" s="84"/>
    </row>
    <row r="4813" spans="187:190" s="2" customFormat="1" ht="18" customHeight="1" x14ac:dyDescent="0.2">
      <c r="GE4813" s="84"/>
      <c r="GF4813" s="84"/>
      <c r="GG4813" s="84"/>
      <c r="GH4813" s="84"/>
    </row>
    <row r="4814" spans="187:190" s="2" customFormat="1" ht="18" customHeight="1" x14ac:dyDescent="0.2">
      <c r="GE4814" s="84"/>
      <c r="GF4814" s="84"/>
      <c r="GG4814" s="84"/>
      <c r="GH4814" s="84"/>
    </row>
    <row r="4815" spans="187:190" s="2" customFormat="1" ht="18" customHeight="1" x14ac:dyDescent="0.2">
      <c r="GE4815" s="84"/>
      <c r="GF4815" s="84"/>
      <c r="GG4815" s="84"/>
      <c r="GH4815" s="84"/>
    </row>
    <row r="4816" spans="187:190" s="2" customFormat="1" ht="18" customHeight="1" x14ac:dyDescent="0.2">
      <c r="GE4816" s="84"/>
      <c r="GF4816" s="84"/>
      <c r="GG4816" s="84"/>
      <c r="GH4816" s="84"/>
    </row>
    <row r="4817" spans="187:190" s="2" customFormat="1" ht="18" customHeight="1" x14ac:dyDescent="0.2">
      <c r="GE4817" s="84"/>
      <c r="GF4817" s="84"/>
      <c r="GG4817" s="84"/>
      <c r="GH4817" s="84"/>
    </row>
    <row r="4818" spans="187:190" s="2" customFormat="1" ht="18" customHeight="1" x14ac:dyDescent="0.2">
      <c r="GE4818" s="84"/>
      <c r="GF4818" s="84"/>
      <c r="GG4818" s="84"/>
      <c r="GH4818" s="84"/>
    </row>
    <row r="4819" spans="187:190" s="2" customFormat="1" ht="18" customHeight="1" x14ac:dyDescent="0.2">
      <c r="GE4819" s="84"/>
      <c r="GF4819" s="84"/>
      <c r="GG4819" s="84"/>
      <c r="GH4819" s="84"/>
    </row>
    <row r="4820" spans="187:190" s="2" customFormat="1" ht="18" customHeight="1" x14ac:dyDescent="0.2">
      <c r="GE4820" s="84"/>
      <c r="GF4820" s="84"/>
      <c r="GG4820" s="84"/>
      <c r="GH4820" s="84"/>
    </row>
    <row r="4821" spans="187:190" s="2" customFormat="1" ht="18" customHeight="1" x14ac:dyDescent="0.2">
      <c r="GE4821" s="84"/>
      <c r="GF4821" s="84"/>
      <c r="GG4821" s="84"/>
      <c r="GH4821" s="84"/>
    </row>
    <row r="4822" spans="187:190" s="2" customFormat="1" ht="18" customHeight="1" x14ac:dyDescent="0.2">
      <c r="GE4822" s="84"/>
      <c r="GF4822" s="84"/>
      <c r="GG4822" s="84"/>
      <c r="GH4822" s="84"/>
    </row>
    <row r="4823" spans="187:190" s="2" customFormat="1" ht="18" customHeight="1" x14ac:dyDescent="0.2">
      <c r="GE4823" s="84"/>
      <c r="GF4823" s="84"/>
      <c r="GG4823" s="84"/>
      <c r="GH4823" s="84"/>
    </row>
    <row r="4824" spans="187:190" s="2" customFormat="1" ht="18" customHeight="1" x14ac:dyDescent="0.2">
      <c r="GE4824" s="84"/>
      <c r="GF4824" s="84"/>
      <c r="GG4824" s="84"/>
      <c r="GH4824" s="84"/>
    </row>
    <row r="4825" spans="187:190" s="2" customFormat="1" ht="18" customHeight="1" x14ac:dyDescent="0.2">
      <c r="GE4825" s="84"/>
      <c r="GF4825" s="84"/>
      <c r="GG4825" s="84"/>
      <c r="GH4825" s="84"/>
    </row>
    <row r="4826" spans="187:190" s="2" customFormat="1" ht="18" customHeight="1" x14ac:dyDescent="0.2">
      <c r="GE4826" s="84"/>
      <c r="GF4826" s="84"/>
      <c r="GG4826" s="84"/>
      <c r="GH4826" s="84"/>
    </row>
    <row r="4827" spans="187:190" s="2" customFormat="1" ht="18" customHeight="1" x14ac:dyDescent="0.2">
      <c r="GE4827" s="84"/>
      <c r="GF4827" s="84"/>
      <c r="GG4827" s="84"/>
      <c r="GH4827" s="84"/>
    </row>
    <row r="4828" spans="187:190" s="2" customFormat="1" ht="18" customHeight="1" x14ac:dyDescent="0.2">
      <c r="GE4828" s="84"/>
      <c r="GF4828" s="84"/>
      <c r="GG4828" s="84"/>
      <c r="GH4828" s="84"/>
    </row>
    <row r="4829" spans="187:190" s="2" customFormat="1" ht="18" customHeight="1" x14ac:dyDescent="0.2">
      <c r="GE4829" s="84"/>
      <c r="GF4829" s="84"/>
      <c r="GG4829" s="84"/>
      <c r="GH4829" s="84"/>
    </row>
    <row r="4830" spans="187:190" s="2" customFormat="1" ht="18" customHeight="1" x14ac:dyDescent="0.2">
      <c r="GE4830" s="84"/>
      <c r="GF4830" s="84"/>
      <c r="GG4830" s="84"/>
      <c r="GH4830" s="84"/>
    </row>
    <row r="4831" spans="187:190" s="2" customFormat="1" ht="18" customHeight="1" x14ac:dyDescent="0.2">
      <c r="GE4831" s="84"/>
      <c r="GF4831" s="84"/>
      <c r="GG4831" s="84"/>
      <c r="GH4831" s="84"/>
    </row>
    <row r="4832" spans="187:190" s="2" customFormat="1" ht="18" customHeight="1" x14ac:dyDescent="0.2">
      <c r="GE4832" s="84"/>
      <c r="GF4832" s="84"/>
      <c r="GG4832" s="84"/>
      <c r="GH4832" s="84"/>
    </row>
    <row r="4833" spans="187:190" s="2" customFormat="1" ht="18" customHeight="1" x14ac:dyDescent="0.2">
      <c r="GE4833" s="84"/>
      <c r="GF4833" s="84"/>
      <c r="GG4833" s="84"/>
      <c r="GH4833" s="84"/>
    </row>
    <row r="4834" spans="187:190" s="2" customFormat="1" ht="18" customHeight="1" x14ac:dyDescent="0.2">
      <c r="GE4834" s="84"/>
      <c r="GF4834" s="84"/>
      <c r="GG4834" s="84"/>
      <c r="GH4834" s="84"/>
    </row>
    <row r="4835" spans="187:190" s="2" customFormat="1" ht="18" customHeight="1" x14ac:dyDescent="0.2">
      <c r="GE4835" s="84"/>
      <c r="GF4835" s="84"/>
      <c r="GG4835" s="84"/>
      <c r="GH4835" s="84"/>
    </row>
    <row r="4836" spans="187:190" s="2" customFormat="1" ht="18" customHeight="1" x14ac:dyDescent="0.2">
      <c r="GE4836" s="84"/>
      <c r="GF4836" s="84"/>
      <c r="GG4836" s="84"/>
      <c r="GH4836" s="84"/>
    </row>
    <row r="4837" spans="187:190" s="2" customFormat="1" ht="18" customHeight="1" x14ac:dyDescent="0.2">
      <c r="GE4837" s="84"/>
      <c r="GF4837" s="84"/>
      <c r="GG4837" s="84"/>
      <c r="GH4837" s="84"/>
    </row>
    <row r="4838" spans="187:190" s="2" customFormat="1" ht="18" customHeight="1" x14ac:dyDescent="0.2">
      <c r="GE4838" s="84"/>
      <c r="GF4838" s="84"/>
      <c r="GG4838" s="84"/>
      <c r="GH4838" s="84"/>
    </row>
    <row r="4839" spans="187:190" s="2" customFormat="1" ht="18" customHeight="1" x14ac:dyDescent="0.2">
      <c r="GE4839" s="84"/>
      <c r="GF4839" s="84"/>
      <c r="GG4839" s="84"/>
      <c r="GH4839" s="84"/>
    </row>
    <row r="4840" spans="187:190" s="2" customFormat="1" ht="18" customHeight="1" x14ac:dyDescent="0.2">
      <c r="GE4840" s="84"/>
      <c r="GF4840" s="84"/>
      <c r="GG4840" s="84"/>
      <c r="GH4840" s="84"/>
    </row>
    <row r="4841" spans="187:190" s="2" customFormat="1" ht="18" customHeight="1" x14ac:dyDescent="0.2">
      <c r="GE4841" s="84"/>
      <c r="GF4841" s="84"/>
      <c r="GG4841" s="84"/>
      <c r="GH4841" s="84"/>
    </row>
    <row r="4842" spans="187:190" s="2" customFormat="1" ht="18" customHeight="1" x14ac:dyDescent="0.2">
      <c r="GE4842" s="84"/>
      <c r="GF4842" s="84"/>
      <c r="GG4842" s="84"/>
      <c r="GH4842" s="84"/>
    </row>
    <row r="4843" spans="187:190" s="2" customFormat="1" ht="18" customHeight="1" x14ac:dyDescent="0.2">
      <c r="GE4843" s="84"/>
      <c r="GF4843" s="84"/>
      <c r="GG4843" s="84"/>
      <c r="GH4843" s="84"/>
    </row>
    <row r="4844" spans="187:190" s="2" customFormat="1" ht="18" customHeight="1" x14ac:dyDescent="0.2">
      <c r="GE4844" s="84"/>
      <c r="GF4844" s="84"/>
      <c r="GG4844" s="84"/>
      <c r="GH4844" s="84"/>
    </row>
    <row r="4845" spans="187:190" s="2" customFormat="1" ht="18" customHeight="1" x14ac:dyDescent="0.2">
      <c r="GE4845" s="84"/>
      <c r="GF4845" s="84"/>
      <c r="GG4845" s="84"/>
      <c r="GH4845" s="84"/>
    </row>
    <row r="4846" spans="187:190" s="2" customFormat="1" ht="18" customHeight="1" x14ac:dyDescent="0.2">
      <c r="GE4846" s="84"/>
      <c r="GF4846" s="84"/>
      <c r="GG4846" s="84"/>
      <c r="GH4846" s="84"/>
    </row>
    <row r="4847" spans="187:190" s="2" customFormat="1" ht="18" customHeight="1" x14ac:dyDescent="0.2">
      <c r="GE4847" s="84"/>
      <c r="GF4847" s="84"/>
      <c r="GG4847" s="84"/>
      <c r="GH4847" s="84"/>
    </row>
    <row r="4848" spans="187:190" s="2" customFormat="1" ht="18" customHeight="1" x14ac:dyDescent="0.2">
      <c r="GE4848" s="84"/>
      <c r="GF4848" s="84"/>
      <c r="GG4848" s="84"/>
      <c r="GH4848" s="84"/>
    </row>
    <row r="4849" spans="187:190" s="2" customFormat="1" ht="18" customHeight="1" x14ac:dyDescent="0.2">
      <c r="GE4849" s="84"/>
      <c r="GF4849" s="84"/>
      <c r="GG4849" s="84"/>
      <c r="GH4849" s="84"/>
    </row>
    <row r="4850" spans="187:190" s="2" customFormat="1" ht="18" customHeight="1" x14ac:dyDescent="0.2">
      <c r="GE4850" s="84"/>
      <c r="GF4850" s="84"/>
      <c r="GG4850" s="84"/>
      <c r="GH4850" s="84"/>
    </row>
    <row r="4851" spans="187:190" s="2" customFormat="1" ht="18" customHeight="1" x14ac:dyDescent="0.2">
      <c r="GE4851" s="84"/>
      <c r="GF4851" s="84"/>
      <c r="GG4851" s="84"/>
      <c r="GH4851" s="84"/>
    </row>
    <row r="4852" spans="187:190" s="2" customFormat="1" ht="18" customHeight="1" x14ac:dyDescent="0.2">
      <c r="GE4852" s="84"/>
      <c r="GF4852" s="84"/>
      <c r="GG4852" s="84"/>
      <c r="GH4852" s="84"/>
    </row>
    <row r="4853" spans="187:190" s="2" customFormat="1" ht="18" customHeight="1" x14ac:dyDescent="0.2">
      <c r="GE4853" s="84"/>
      <c r="GF4853" s="84"/>
      <c r="GG4853" s="84"/>
      <c r="GH4853" s="84"/>
    </row>
    <row r="4854" spans="187:190" s="2" customFormat="1" ht="18" customHeight="1" x14ac:dyDescent="0.2">
      <c r="GE4854" s="84"/>
      <c r="GF4854" s="84"/>
      <c r="GG4854" s="84"/>
      <c r="GH4854" s="84"/>
    </row>
    <row r="4855" spans="187:190" s="2" customFormat="1" ht="18" customHeight="1" x14ac:dyDescent="0.2">
      <c r="GE4855" s="84"/>
      <c r="GF4855" s="84"/>
      <c r="GG4855" s="84"/>
      <c r="GH4855" s="84"/>
    </row>
    <row r="4856" spans="187:190" s="2" customFormat="1" ht="18" customHeight="1" x14ac:dyDescent="0.2">
      <c r="GE4856" s="84"/>
      <c r="GF4856" s="84"/>
      <c r="GG4856" s="84"/>
      <c r="GH4856" s="84"/>
    </row>
    <row r="4857" spans="187:190" s="2" customFormat="1" ht="18" customHeight="1" x14ac:dyDescent="0.2">
      <c r="GE4857" s="84"/>
      <c r="GF4857" s="84"/>
      <c r="GG4857" s="84"/>
      <c r="GH4857" s="84"/>
    </row>
    <row r="4858" spans="187:190" s="2" customFormat="1" ht="18" customHeight="1" x14ac:dyDescent="0.2">
      <c r="GE4858" s="84"/>
      <c r="GF4858" s="84"/>
      <c r="GG4858" s="84"/>
      <c r="GH4858" s="84"/>
    </row>
    <row r="4859" spans="187:190" s="2" customFormat="1" ht="18" customHeight="1" x14ac:dyDescent="0.2">
      <c r="GE4859" s="84"/>
      <c r="GF4859" s="84"/>
      <c r="GG4859" s="84"/>
      <c r="GH4859" s="84"/>
    </row>
    <row r="4860" spans="187:190" s="2" customFormat="1" ht="18" customHeight="1" x14ac:dyDescent="0.2">
      <c r="GE4860" s="84"/>
      <c r="GF4860" s="84"/>
      <c r="GG4860" s="84"/>
      <c r="GH4860" s="84"/>
    </row>
    <row r="4861" spans="187:190" s="2" customFormat="1" ht="18" customHeight="1" x14ac:dyDescent="0.2">
      <c r="GE4861" s="84"/>
      <c r="GF4861" s="84"/>
      <c r="GG4861" s="84"/>
      <c r="GH4861" s="84"/>
    </row>
    <row r="4862" spans="187:190" s="2" customFormat="1" ht="18" customHeight="1" x14ac:dyDescent="0.2">
      <c r="GE4862" s="84"/>
      <c r="GF4862" s="84"/>
      <c r="GG4862" s="84"/>
      <c r="GH4862" s="84"/>
    </row>
    <row r="4863" spans="187:190" s="2" customFormat="1" ht="18" customHeight="1" x14ac:dyDescent="0.2">
      <c r="GE4863" s="84"/>
      <c r="GF4863" s="84"/>
      <c r="GG4863" s="84"/>
      <c r="GH4863" s="84"/>
    </row>
    <row r="4864" spans="187:190" s="2" customFormat="1" ht="18" customHeight="1" x14ac:dyDescent="0.2">
      <c r="GE4864" s="84"/>
      <c r="GF4864" s="84"/>
      <c r="GG4864" s="84"/>
      <c r="GH4864" s="84"/>
    </row>
    <row r="4865" spans="187:190" s="2" customFormat="1" ht="18" customHeight="1" x14ac:dyDescent="0.2">
      <c r="GE4865" s="84"/>
      <c r="GF4865" s="84"/>
      <c r="GG4865" s="84"/>
      <c r="GH4865" s="84"/>
    </row>
    <row r="4866" spans="187:190" s="2" customFormat="1" ht="18" customHeight="1" x14ac:dyDescent="0.2">
      <c r="GE4866" s="84"/>
      <c r="GF4866" s="84"/>
      <c r="GG4866" s="84"/>
      <c r="GH4866" s="84"/>
    </row>
    <row r="4867" spans="187:190" s="2" customFormat="1" ht="18" customHeight="1" x14ac:dyDescent="0.2">
      <c r="GE4867" s="84"/>
      <c r="GF4867" s="84"/>
      <c r="GG4867" s="84"/>
      <c r="GH4867" s="84"/>
    </row>
    <row r="4868" spans="187:190" s="2" customFormat="1" ht="18" customHeight="1" x14ac:dyDescent="0.2">
      <c r="GE4868" s="84"/>
      <c r="GF4868" s="84"/>
      <c r="GG4868" s="84"/>
      <c r="GH4868" s="84"/>
    </row>
    <row r="4869" spans="187:190" s="2" customFormat="1" ht="18" customHeight="1" x14ac:dyDescent="0.2">
      <c r="GE4869" s="84"/>
      <c r="GF4869" s="84"/>
      <c r="GG4869" s="84"/>
      <c r="GH4869" s="84"/>
    </row>
    <row r="4870" spans="187:190" s="2" customFormat="1" ht="18" customHeight="1" x14ac:dyDescent="0.2">
      <c r="GE4870" s="84"/>
      <c r="GF4870" s="84"/>
      <c r="GG4870" s="84"/>
      <c r="GH4870" s="84"/>
    </row>
    <row r="4871" spans="187:190" s="2" customFormat="1" ht="18" customHeight="1" x14ac:dyDescent="0.2">
      <c r="GE4871" s="84"/>
      <c r="GF4871" s="84"/>
      <c r="GG4871" s="84"/>
      <c r="GH4871" s="84"/>
    </row>
    <row r="4872" spans="187:190" s="2" customFormat="1" ht="18" customHeight="1" x14ac:dyDescent="0.2">
      <c r="GE4872" s="84"/>
      <c r="GF4872" s="84"/>
      <c r="GG4872" s="84"/>
      <c r="GH4872" s="84"/>
    </row>
    <row r="4873" spans="187:190" s="2" customFormat="1" ht="18" customHeight="1" x14ac:dyDescent="0.2">
      <c r="GE4873" s="84"/>
      <c r="GF4873" s="84"/>
      <c r="GG4873" s="84"/>
      <c r="GH4873" s="84"/>
    </row>
    <row r="4874" spans="187:190" s="2" customFormat="1" ht="18" customHeight="1" x14ac:dyDescent="0.2">
      <c r="GE4874" s="84"/>
      <c r="GF4874" s="84"/>
      <c r="GG4874" s="84"/>
      <c r="GH4874" s="84"/>
    </row>
    <row r="4875" spans="187:190" s="2" customFormat="1" ht="18" customHeight="1" x14ac:dyDescent="0.2">
      <c r="GE4875" s="84"/>
      <c r="GF4875" s="84"/>
      <c r="GG4875" s="84"/>
      <c r="GH4875" s="84"/>
    </row>
    <row r="4876" spans="187:190" s="2" customFormat="1" ht="18" customHeight="1" x14ac:dyDescent="0.2">
      <c r="GE4876" s="84"/>
      <c r="GF4876" s="84"/>
      <c r="GG4876" s="84"/>
      <c r="GH4876" s="84"/>
    </row>
    <row r="4877" spans="187:190" s="2" customFormat="1" ht="18" customHeight="1" x14ac:dyDescent="0.2">
      <c r="GE4877" s="84"/>
      <c r="GF4877" s="84"/>
      <c r="GG4877" s="84"/>
      <c r="GH4877" s="84"/>
    </row>
    <row r="4878" spans="187:190" s="2" customFormat="1" ht="18" customHeight="1" x14ac:dyDescent="0.2">
      <c r="GE4878" s="84"/>
      <c r="GF4878" s="84"/>
      <c r="GG4878" s="84"/>
      <c r="GH4878" s="84"/>
    </row>
    <row r="4879" spans="187:190" s="2" customFormat="1" ht="18" customHeight="1" x14ac:dyDescent="0.2">
      <c r="GE4879" s="84"/>
      <c r="GF4879" s="84"/>
      <c r="GG4879" s="84"/>
      <c r="GH4879" s="84"/>
    </row>
    <row r="4880" spans="187:190" s="2" customFormat="1" ht="18" customHeight="1" x14ac:dyDescent="0.2">
      <c r="GE4880" s="84"/>
      <c r="GF4880" s="84"/>
      <c r="GG4880" s="84"/>
      <c r="GH4880" s="84"/>
    </row>
    <row r="4881" spans="187:190" s="2" customFormat="1" ht="18" customHeight="1" x14ac:dyDescent="0.2">
      <c r="GE4881" s="84"/>
      <c r="GF4881" s="84"/>
      <c r="GG4881" s="84"/>
      <c r="GH4881" s="84"/>
    </row>
    <row r="4882" spans="187:190" s="2" customFormat="1" ht="18" customHeight="1" x14ac:dyDescent="0.2">
      <c r="GE4882" s="84"/>
      <c r="GF4882" s="84"/>
      <c r="GG4882" s="84"/>
      <c r="GH4882" s="84"/>
    </row>
    <row r="4883" spans="187:190" s="2" customFormat="1" ht="18" customHeight="1" x14ac:dyDescent="0.2">
      <c r="GE4883" s="84"/>
      <c r="GF4883" s="84"/>
      <c r="GG4883" s="84"/>
      <c r="GH4883" s="84"/>
    </row>
    <row r="4884" spans="187:190" s="2" customFormat="1" ht="18" customHeight="1" x14ac:dyDescent="0.2">
      <c r="GE4884" s="84"/>
      <c r="GF4884" s="84"/>
      <c r="GG4884" s="84"/>
      <c r="GH4884" s="84"/>
    </row>
    <row r="4885" spans="187:190" s="2" customFormat="1" ht="18" customHeight="1" x14ac:dyDescent="0.2">
      <c r="GE4885" s="84"/>
      <c r="GF4885" s="84"/>
      <c r="GG4885" s="84"/>
      <c r="GH4885" s="84"/>
    </row>
    <row r="4886" spans="187:190" s="2" customFormat="1" ht="18" customHeight="1" x14ac:dyDescent="0.2">
      <c r="GE4886" s="84"/>
      <c r="GF4886" s="84"/>
      <c r="GG4886" s="84"/>
      <c r="GH4886" s="84"/>
    </row>
    <row r="4887" spans="187:190" s="2" customFormat="1" ht="18" customHeight="1" x14ac:dyDescent="0.2">
      <c r="GE4887" s="84"/>
      <c r="GF4887" s="84"/>
      <c r="GG4887" s="84"/>
      <c r="GH4887" s="84"/>
    </row>
    <row r="4888" spans="187:190" s="2" customFormat="1" ht="18" customHeight="1" x14ac:dyDescent="0.2">
      <c r="GE4888" s="84"/>
      <c r="GF4888" s="84"/>
      <c r="GG4888" s="84"/>
      <c r="GH4888" s="84"/>
    </row>
    <row r="4889" spans="187:190" s="2" customFormat="1" ht="18" customHeight="1" x14ac:dyDescent="0.2">
      <c r="GE4889" s="84"/>
      <c r="GF4889" s="84"/>
      <c r="GG4889" s="84"/>
      <c r="GH4889" s="84"/>
    </row>
    <row r="4890" spans="187:190" s="2" customFormat="1" ht="18" customHeight="1" x14ac:dyDescent="0.2">
      <c r="GE4890" s="84"/>
      <c r="GF4890" s="84"/>
      <c r="GG4890" s="84"/>
      <c r="GH4890" s="84"/>
    </row>
    <row r="4891" spans="187:190" s="2" customFormat="1" ht="18" customHeight="1" x14ac:dyDescent="0.2">
      <c r="GE4891" s="84"/>
      <c r="GF4891" s="84"/>
      <c r="GG4891" s="84"/>
      <c r="GH4891" s="84"/>
    </row>
    <row r="4892" spans="187:190" s="2" customFormat="1" ht="18" customHeight="1" x14ac:dyDescent="0.2">
      <c r="GE4892" s="84"/>
      <c r="GF4892" s="84"/>
      <c r="GG4892" s="84"/>
      <c r="GH4892" s="84"/>
    </row>
    <row r="4893" spans="187:190" s="2" customFormat="1" ht="18" customHeight="1" x14ac:dyDescent="0.2">
      <c r="GE4893" s="84"/>
      <c r="GF4893" s="84"/>
      <c r="GG4893" s="84"/>
      <c r="GH4893" s="84"/>
    </row>
    <row r="4894" spans="187:190" s="2" customFormat="1" ht="18" customHeight="1" x14ac:dyDescent="0.2">
      <c r="GE4894" s="84"/>
      <c r="GF4894" s="84"/>
      <c r="GG4894" s="84"/>
      <c r="GH4894" s="84"/>
    </row>
    <row r="4895" spans="187:190" s="2" customFormat="1" ht="18" customHeight="1" x14ac:dyDescent="0.2">
      <c r="GE4895" s="84"/>
      <c r="GF4895" s="84"/>
      <c r="GG4895" s="84"/>
      <c r="GH4895" s="84"/>
    </row>
    <row r="4896" spans="187:190" s="2" customFormat="1" ht="18" customHeight="1" x14ac:dyDescent="0.2">
      <c r="GE4896" s="84"/>
      <c r="GF4896" s="84"/>
      <c r="GG4896" s="84"/>
      <c r="GH4896" s="84"/>
    </row>
    <row r="4897" spans="187:190" s="2" customFormat="1" ht="18" customHeight="1" x14ac:dyDescent="0.2">
      <c r="GE4897" s="84"/>
      <c r="GF4897" s="84"/>
      <c r="GG4897" s="84"/>
      <c r="GH4897" s="84"/>
    </row>
    <row r="4898" spans="187:190" s="2" customFormat="1" ht="18" customHeight="1" x14ac:dyDescent="0.2">
      <c r="GE4898" s="84"/>
      <c r="GF4898" s="84"/>
      <c r="GG4898" s="84"/>
      <c r="GH4898" s="84"/>
    </row>
    <row r="4899" spans="187:190" s="2" customFormat="1" ht="18" customHeight="1" x14ac:dyDescent="0.2">
      <c r="GE4899" s="84"/>
      <c r="GF4899" s="84"/>
      <c r="GG4899" s="84"/>
      <c r="GH4899" s="84"/>
    </row>
    <row r="4900" spans="187:190" s="2" customFormat="1" ht="18" customHeight="1" x14ac:dyDescent="0.2">
      <c r="GE4900" s="84"/>
      <c r="GF4900" s="84"/>
      <c r="GG4900" s="84"/>
      <c r="GH4900" s="84"/>
    </row>
    <row r="4901" spans="187:190" s="2" customFormat="1" ht="18" customHeight="1" x14ac:dyDescent="0.2">
      <c r="GE4901" s="84"/>
      <c r="GF4901" s="84"/>
      <c r="GG4901" s="84"/>
      <c r="GH4901" s="84"/>
    </row>
    <row r="4902" spans="187:190" s="2" customFormat="1" ht="18" customHeight="1" x14ac:dyDescent="0.2">
      <c r="GE4902" s="84"/>
      <c r="GF4902" s="84"/>
      <c r="GG4902" s="84"/>
      <c r="GH4902" s="84"/>
    </row>
    <row r="4903" spans="187:190" s="2" customFormat="1" ht="18" customHeight="1" x14ac:dyDescent="0.2">
      <c r="GE4903" s="84"/>
      <c r="GF4903" s="84"/>
      <c r="GG4903" s="84"/>
      <c r="GH4903" s="84"/>
    </row>
    <row r="4904" spans="187:190" s="2" customFormat="1" ht="18" customHeight="1" x14ac:dyDescent="0.2">
      <c r="GE4904" s="84"/>
      <c r="GF4904" s="84"/>
      <c r="GG4904" s="84"/>
      <c r="GH4904" s="84"/>
    </row>
    <row r="4905" spans="187:190" s="2" customFormat="1" ht="18" customHeight="1" x14ac:dyDescent="0.2">
      <c r="GE4905" s="84"/>
      <c r="GF4905" s="84"/>
      <c r="GG4905" s="84"/>
      <c r="GH4905" s="84"/>
    </row>
    <row r="4906" spans="187:190" s="2" customFormat="1" ht="18" customHeight="1" x14ac:dyDescent="0.2">
      <c r="GE4906" s="84"/>
      <c r="GF4906" s="84"/>
      <c r="GG4906" s="84"/>
      <c r="GH4906" s="84"/>
    </row>
    <row r="4907" spans="187:190" s="2" customFormat="1" ht="18" customHeight="1" x14ac:dyDescent="0.2">
      <c r="GE4907" s="84"/>
      <c r="GF4907" s="84"/>
      <c r="GG4907" s="84"/>
      <c r="GH4907" s="84"/>
    </row>
    <row r="4908" spans="187:190" s="2" customFormat="1" ht="18" customHeight="1" x14ac:dyDescent="0.2">
      <c r="GE4908" s="84"/>
      <c r="GF4908" s="84"/>
      <c r="GG4908" s="84"/>
      <c r="GH4908" s="84"/>
    </row>
    <row r="4909" spans="187:190" s="2" customFormat="1" ht="18" customHeight="1" x14ac:dyDescent="0.2">
      <c r="GE4909" s="84"/>
      <c r="GF4909" s="84"/>
      <c r="GG4909" s="84"/>
      <c r="GH4909" s="84"/>
    </row>
    <row r="4910" spans="187:190" s="2" customFormat="1" ht="18" customHeight="1" x14ac:dyDescent="0.2">
      <c r="GE4910" s="84"/>
      <c r="GF4910" s="84"/>
      <c r="GG4910" s="84"/>
      <c r="GH4910" s="84"/>
    </row>
    <row r="4911" spans="187:190" s="2" customFormat="1" ht="18" customHeight="1" x14ac:dyDescent="0.2">
      <c r="GE4911" s="84"/>
      <c r="GF4911" s="84"/>
      <c r="GG4911" s="84"/>
      <c r="GH4911" s="84"/>
    </row>
    <row r="4912" spans="187:190" s="2" customFormat="1" ht="18" customHeight="1" x14ac:dyDescent="0.2">
      <c r="GE4912" s="84"/>
      <c r="GF4912" s="84"/>
      <c r="GG4912" s="84"/>
      <c r="GH4912" s="84"/>
    </row>
    <row r="4913" spans="187:190" s="2" customFormat="1" ht="18" customHeight="1" x14ac:dyDescent="0.2">
      <c r="GE4913" s="84"/>
      <c r="GF4913" s="84"/>
      <c r="GG4913" s="84"/>
      <c r="GH4913" s="84"/>
    </row>
    <row r="4914" spans="187:190" s="2" customFormat="1" ht="18" customHeight="1" x14ac:dyDescent="0.2">
      <c r="GE4914" s="84"/>
      <c r="GF4914" s="84"/>
      <c r="GG4914" s="84"/>
      <c r="GH4914" s="84"/>
    </row>
    <row r="4915" spans="187:190" s="2" customFormat="1" ht="18" customHeight="1" x14ac:dyDescent="0.2">
      <c r="GE4915" s="84"/>
      <c r="GF4915" s="84"/>
      <c r="GG4915" s="84"/>
      <c r="GH4915" s="84"/>
    </row>
    <row r="4916" spans="187:190" s="2" customFormat="1" ht="18" customHeight="1" x14ac:dyDescent="0.2">
      <c r="GE4916" s="84"/>
      <c r="GF4916" s="84"/>
      <c r="GG4916" s="84"/>
      <c r="GH4916" s="84"/>
    </row>
    <row r="4917" spans="187:190" s="2" customFormat="1" ht="18" customHeight="1" x14ac:dyDescent="0.2">
      <c r="GE4917" s="84"/>
      <c r="GF4917" s="84"/>
      <c r="GG4917" s="84"/>
      <c r="GH4917" s="84"/>
    </row>
    <row r="4918" spans="187:190" s="2" customFormat="1" ht="18" customHeight="1" x14ac:dyDescent="0.2">
      <c r="GE4918" s="84"/>
      <c r="GF4918" s="84"/>
      <c r="GG4918" s="84"/>
      <c r="GH4918" s="84"/>
    </row>
    <row r="4919" spans="187:190" s="2" customFormat="1" ht="18" customHeight="1" x14ac:dyDescent="0.2">
      <c r="GE4919" s="84"/>
      <c r="GF4919" s="84"/>
      <c r="GG4919" s="84"/>
      <c r="GH4919" s="84"/>
    </row>
    <row r="4920" spans="187:190" s="2" customFormat="1" ht="18" customHeight="1" x14ac:dyDescent="0.2">
      <c r="GE4920" s="84"/>
      <c r="GF4920" s="84"/>
      <c r="GG4920" s="84"/>
      <c r="GH4920" s="84"/>
    </row>
    <row r="4921" spans="187:190" s="2" customFormat="1" ht="18" customHeight="1" x14ac:dyDescent="0.2">
      <c r="GE4921" s="84"/>
      <c r="GF4921" s="84"/>
      <c r="GG4921" s="84"/>
      <c r="GH4921" s="84"/>
    </row>
    <row r="4922" spans="187:190" s="2" customFormat="1" ht="18" customHeight="1" x14ac:dyDescent="0.2">
      <c r="GE4922" s="84"/>
      <c r="GF4922" s="84"/>
      <c r="GG4922" s="84"/>
      <c r="GH4922" s="84"/>
    </row>
    <row r="4923" spans="187:190" s="2" customFormat="1" ht="18" customHeight="1" x14ac:dyDescent="0.2">
      <c r="GE4923" s="84"/>
      <c r="GF4923" s="84"/>
      <c r="GG4923" s="84"/>
      <c r="GH4923" s="84"/>
    </row>
    <row r="4924" spans="187:190" s="2" customFormat="1" ht="18" customHeight="1" x14ac:dyDescent="0.2">
      <c r="GE4924" s="84"/>
      <c r="GF4924" s="84"/>
      <c r="GG4924" s="84"/>
      <c r="GH4924" s="84"/>
    </row>
    <row r="4925" spans="187:190" s="2" customFormat="1" ht="18" customHeight="1" x14ac:dyDescent="0.2">
      <c r="GE4925" s="84"/>
      <c r="GF4925" s="84"/>
      <c r="GG4925" s="84"/>
      <c r="GH4925" s="84"/>
    </row>
    <row r="4926" spans="187:190" s="2" customFormat="1" ht="18" customHeight="1" x14ac:dyDescent="0.2">
      <c r="GE4926" s="84"/>
      <c r="GF4926" s="84"/>
      <c r="GG4926" s="84"/>
      <c r="GH4926" s="84"/>
    </row>
    <row r="4927" spans="187:190" s="2" customFormat="1" ht="18" customHeight="1" x14ac:dyDescent="0.2">
      <c r="GE4927" s="84"/>
      <c r="GF4927" s="84"/>
      <c r="GG4927" s="84"/>
      <c r="GH4927" s="84"/>
    </row>
    <row r="4928" spans="187:190" s="2" customFormat="1" ht="18" customHeight="1" x14ac:dyDescent="0.2">
      <c r="GE4928" s="84"/>
      <c r="GF4928" s="84"/>
      <c r="GG4928" s="84"/>
      <c r="GH4928" s="84"/>
    </row>
    <row r="4929" spans="187:190" s="2" customFormat="1" ht="18" customHeight="1" x14ac:dyDescent="0.2">
      <c r="GE4929" s="84"/>
      <c r="GF4929" s="84"/>
      <c r="GG4929" s="84"/>
      <c r="GH4929" s="84"/>
    </row>
    <row r="4930" spans="187:190" s="2" customFormat="1" ht="18" customHeight="1" x14ac:dyDescent="0.2">
      <c r="GE4930" s="84"/>
      <c r="GF4930" s="84"/>
      <c r="GG4930" s="84"/>
      <c r="GH4930" s="84"/>
    </row>
    <row r="4931" spans="187:190" s="2" customFormat="1" ht="18" customHeight="1" x14ac:dyDescent="0.2">
      <c r="GE4931" s="84"/>
      <c r="GF4931" s="84"/>
      <c r="GG4931" s="84"/>
      <c r="GH4931" s="84"/>
    </row>
    <row r="4932" spans="187:190" s="2" customFormat="1" ht="18" customHeight="1" x14ac:dyDescent="0.2">
      <c r="GE4932" s="84"/>
      <c r="GF4932" s="84"/>
      <c r="GG4932" s="84"/>
      <c r="GH4932" s="84"/>
    </row>
    <row r="4933" spans="187:190" s="2" customFormat="1" ht="18" customHeight="1" x14ac:dyDescent="0.2">
      <c r="GE4933" s="84"/>
      <c r="GF4933" s="84"/>
      <c r="GG4933" s="84"/>
      <c r="GH4933" s="84"/>
    </row>
    <row r="4934" spans="187:190" s="2" customFormat="1" ht="18" customHeight="1" x14ac:dyDescent="0.2">
      <c r="GE4934" s="84"/>
      <c r="GF4934" s="84"/>
      <c r="GG4934" s="84"/>
      <c r="GH4934" s="84"/>
    </row>
    <row r="4935" spans="187:190" s="2" customFormat="1" ht="18" customHeight="1" x14ac:dyDescent="0.2">
      <c r="GE4935" s="84"/>
      <c r="GF4935" s="84"/>
      <c r="GG4935" s="84"/>
      <c r="GH4935" s="84"/>
    </row>
    <row r="4936" spans="187:190" s="2" customFormat="1" ht="18" customHeight="1" x14ac:dyDescent="0.2">
      <c r="GE4936" s="84"/>
      <c r="GF4936" s="84"/>
      <c r="GG4936" s="84"/>
      <c r="GH4936" s="84"/>
    </row>
    <row r="4937" spans="187:190" s="2" customFormat="1" ht="18" customHeight="1" x14ac:dyDescent="0.2">
      <c r="GE4937" s="84"/>
      <c r="GF4937" s="84"/>
      <c r="GG4937" s="84"/>
      <c r="GH4937" s="84"/>
    </row>
    <row r="4938" spans="187:190" s="2" customFormat="1" ht="18" customHeight="1" x14ac:dyDescent="0.2">
      <c r="GE4938" s="84"/>
      <c r="GF4938" s="84"/>
      <c r="GG4938" s="84"/>
      <c r="GH4938" s="84"/>
    </row>
    <row r="4939" spans="187:190" s="2" customFormat="1" ht="18" customHeight="1" x14ac:dyDescent="0.2">
      <c r="GE4939" s="84"/>
      <c r="GF4939" s="84"/>
      <c r="GG4939" s="84"/>
      <c r="GH4939" s="84"/>
    </row>
    <row r="4940" spans="187:190" s="2" customFormat="1" ht="18" customHeight="1" x14ac:dyDescent="0.2">
      <c r="GE4940" s="84"/>
      <c r="GF4940" s="84"/>
      <c r="GG4940" s="84"/>
      <c r="GH4940" s="84"/>
    </row>
    <row r="4941" spans="187:190" s="2" customFormat="1" ht="18" customHeight="1" x14ac:dyDescent="0.2">
      <c r="GE4941" s="84"/>
      <c r="GF4941" s="84"/>
      <c r="GG4941" s="84"/>
      <c r="GH4941" s="84"/>
    </row>
    <row r="4942" spans="187:190" s="2" customFormat="1" ht="18" customHeight="1" x14ac:dyDescent="0.2">
      <c r="GE4942" s="84"/>
      <c r="GF4942" s="84"/>
      <c r="GG4942" s="84"/>
      <c r="GH4942" s="84"/>
    </row>
    <row r="4943" spans="187:190" s="2" customFormat="1" ht="18" customHeight="1" x14ac:dyDescent="0.2">
      <c r="GE4943" s="84"/>
      <c r="GF4943" s="84"/>
      <c r="GG4943" s="84"/>
      <c r="GH4943" s="84"/>
    </row>
    <row r="4944" spans="187:190" s="2" customFormat="1" ht="18" customHeight="1" x14ac:dyDescent="0.2">
      <c r="GE4944" s="84"/>
      <c r="GF4944" s="84"/>
      <c r="GG4944" s="84"/>
      <c r="GH4944" s="84"/>
    </row>
    <row r="4945" spans="187:190" s="2" customFormat="1" ht="18" customHeight="1" x14ac:dyDescent="0.2">
      <c r="GE4945" s="84"/>
      <c r="GF4945" s="84"/>
      <c r="GG4945" s="84"/>
      <c r="GH4945" s="84"/>
    </row>
    <row r="4946" spans="187:190" s="2" customFormat="1" ht="18" customHeight="1" x14ac:dyDescent="0.2">
      <c r="GE4946" s="84"/>
      <c r="GF4946" s="84"/>
      <c r="GG4946" s="84"/>
      <c r="GH4946" s="84"/>
    </row>
    <row r="4947" spans="187:190" s="2" customFormat="1" ht="18" customHeight="1" x14ac:dyDescent="0.2">
      <c r="GE4947" s="84"/>
      <c r="GF4947" s="84"/>
      <c r="GG4947" s="84"/>
      <c r="GH4947" s="84"/>
    </row>
    <row r="4948" spans="187:190" s="2" customFormat="1" ht="18" customHeight="1" x14ac:dyDescent="0.2">
      <c r="GE4948" s="84"/>
      <c r="GF4948" s="84"/>
      <c r="GG4948" s="84"/>
      <c r="GH4948" s="84"/>
    </row>
    <row r="4949" spans="187:190" s="2" customFormat="1" ht="18" customHeight="1" x14ac:dyDescent="0.2">
      <c r="GE4949" s="84"/>
      <c r="GF4949" s="84"/>
      <c r="GG4949" s="84"/>
      <c r="GH4949" s="84"/>
    </row>
    <row r="4950" spans="187:190" s="2" customFormat="1" ht="18" customHeight="1" x14ac:dyDescent="0.2">
      <c r="GE4950" s="84"/>
      <c r="GF4950" s="84"/>
      <c r="GG4950" s="84"/>
      <c r="GH4950" s="84"/>
    </row>
    <row r="4951" spans="187:190" s="2" customFormat="1" ht="18" customHeight="1" x14ac:dyDescent="0.2">
      <c r="GE4951" s="84"/>
      <c r="GF4951" s="84"/>
      <c r="GG4951" s="84"/>
      <c r="GH4951" s="84"/>
    </row>
    <row r="4952" spans="187:190" s="2" customFormat="1" ht="18" customHeight="1" x14ac:dyDescent="0.2">
      <c r="GE4952" s="84"/>
      <c r="GF4952" s="84"/>
      <c r="GG4952" s="84"/>
      <c r="GH4952" s="84"/>
    </row>
    <row r="4953" spans="187:190" s="2" customFormat="1" ht="18" customHeight="1" x14ac:dyDescent="0.2">
      <c r="GE4953" s="84"/>
      <c r="GF4953" s="84"/>
      <c r="GG4953" s="84"/>
      <c r="GH4953" s="84"/>
    </row>
    <row r="4954" spans="187:190" s="2" customFormat="1" ht="18" customHeight="1" x14ac:dyDescent="0.2">
      <c r="GE4954" s="84"/>
      <c r="GF4954" s="84"/>
      <c r="GG4954" s="84"/>
      <c r="GH4954" s="84"/>
    </row>
    <row r="4955" spans="187:190" s="2" customFormat="1" ht="18" customHeight="1" x14ac:dyDescent="0.2">
      <c r="GE4955" s="84"/>
      <c r="GF4955" s="84"/>
      <c r="GG4955" s="84"/>
      <c r="GH4955" s="84"/>
    </row>
    <row r="4956" spans="187:190" s="2" customFormat="1" ht="18" customHeight="1" x14ac:dyDescent="0.2">
      <c r="GE4956" s="84"/>
      <c r="GF4956" s="84"/>
      <c r="GG4956" s="84"/>
      <c r="GH4956" s="84"/>
    </row>
    <row r="4957" spans="187:190" s="2" customFormat="1" ht="18" customHeight="1" x14ac:dyDescent="0.2">
      <c r="GE4957" s="84"/>
      <c r="GF4957" s="84"/>
      <c r="GG4957" s="84"/>
      <c r="GH4957" s="84"/>
    </row>
    <row r="4958" spans="187:190" s="2" customFormat="1" ht="18" customHeight="1" x14ac:dyDescent="0.2">
      <c r="GE4958" s="84"/>
      <c r="GF4958" s="84"/>
      <c r="GG4958" s="84"/>
      <c r="GH4958" s="84"/>
    </row>
    <row r="4959" spans="187:190" s="2" customFormat="1" ht="18" customHeight="1" x14ac:dyDescent="0.2">
      <c r="GE4959" s="84"/>
      <c r="GF4959" s="84"/>
      <c r="GG4959" s="84"/>
      <c r="GH4959" s="84"/>
    </row>
    <row r="4960" spans="187:190" s="2" customFormat="1" ht="18" customHeight="1" x14ac:dyDescent="0.2">
      <c r="GE4960" s="84"/>
      <c r="GF4960" s="84"/>
      <c r="GG4960" s="84"/>
      <c r="GH4960" s="84"/>
    </row>
    <row r="4961" spans="187:190" s="2" customFormat="1" ht="18" customHeight="1" x14ac:dyDescent="0.2">
      <c r="GE4961" s="84"/>
      <c r="GF4961" s="84"/>
      <c r="GG4961" s="84"/>
      <c r="GH4961" s="84"/>
    </row>
    <row r="4962" spans="187:190" s="2" customFormat="1" ht="18" customHeight="1" x14ac:dyDescent="0.2">
      <c r="GE4962" s="84"/>
      <c r="GF4962" s="84"/>
      <c r="GG4962" s="84"/>
      <c r="GH4962" s="84"/>
    </row>
    <row r="4963" spans="187:190" s="2" customFormat="1" ht="18" customHeight="1" x14ac:dyDescent="0.2">
      <c r="GE4963" s="84"/>
      <c r="GF4963" s="84"/>
      <c r="GG4963" s="84"/>
      <c r="GH4963" s="84"/>
    </row>
    <row r="4964" spans="187:190" s="2" customFormat="1" ht="18" customHeight="1" x14ac:dyDescent="0.2">
      <c r="GE4964" s="84"/>
      <c r="GF4964" s="84"/>
      <c r="GG4964" s="84"/>
      <c r="GH4964" s="84"/>
    </row>
    <row r="4965" spans="187:190" s="2" customFormat="1" ht="18" customHeight="1" x14ac:dyDescent="0.2">
      <c r="GE4965" s="84"/>
      <c r="GF4965" s="84"/>
      <c r="GG4965" s="84"/>
      <c r="GH4965" s="84"/>
    </row>
    <row r="4966" spans="187:190" s="2" customFormat="1" ht="18" customHeight="1" x14ac:dyDescent="0.2">
      <c r="GE4966" s="84"/>
      <c r="GF4966" s="84"/>
      <c r="GG4966" s="84"/>
      <c r="GH4966" s="84"/>
    </row>
    <row r="4967" spans="187:190" s="2" customFormat="1" ht="18" customHeight="1" x14ac:dyDescent="0.2">
      <c r="GE4967" s="84"/>
      <c r="GF4967" s="84"/>
      <c r="GG4967" s="84"/>
      <c r="GH4967" s="84"/>
    </row>
    <row r="4968" spans="187:190" s="2" customFormat="1" ht="18" customHeight="1" x14ac:dyDescent="0.2">
      <c r="GE4968" s="84"/>
      <c r="GF4968" s="84"/>
      <c r="GG4968" s="84"/>
      <c r="GH4968" s="84"/>
    </row>
    <row r="4969" spans="187:190" s="2" customFormat="1" ht="18" customHeight="1" x14ac:dyDescent="0.2">
      <c r="GE4969" s="84"/>
      <c r="GF4969" s="84"/>
      <c r="GG4969" s="84"/>
      <c r="GH4969" s="84"/>
    </row>
    <row r="4970" spans="187:190" s="2" customFormat="1" ht="18" customHeight="1" x14ac:dyDescent="0.2">
      <c r="GE4970" s="84"/>
      <c r="GF4970" s="84"/>
      <c r="GG4970" s="84"/>
      <c r="GH4970" s="84"/>
    </row>
    <row r="4971" spans="187:190" s="2" customFormat="1" ht="18" customHeight="1" x14ac:dyDescent="0.2">
      <c r="GE4971" s="84"/>
      <c r="GF4971" s="84"/>
      <c r="GG4971" s="84"/>
      <c r="GH4971" s="84"/>
    </row>
    <row r="4972" spans="187:190" s="2" customFormat="1" ht="18" customHeight="1" x14ac:dyDescent="0.2">
      <c r="GE4972" s="84"/>
      <c r="GF4972" s="84"/>
      <c r="GG4972" s="84"/>
      <c r="GH4972" s="84"/>
    </row>
    <row r="4973" spans="187:190" s="2" customFormat="1" ht="18" customHeight="1" x14ac:dyDescent="0.2">
      <c r="GE4973" s="84"/>
      <c r="GF4973" s="84"/>
      <c r="GG4973" s="84"/>
      <c r="GH4973" s="84"/>
    </row>
    <row r="4974" spans="187:190" s="2" customFormat="1" ht="18" customHeight="1" x14ac:dyDescent="0.2">
      <c r="GE4974" s="84"/>
      <c r="GF4974" s="84"/>
      <c r="GG4974" s="84"/>
      <c r="GH4974" s="84"/>
    </row>
    <row r="4975" spans="187:190" s="2" customFormat="1" ht="18" customHeight="1" x14ac:dyDescent="0.2">
      <c r="GE4975" s="84"/>
      <c r="GF4975" s="84"/>
      <c r="GG4975" s="84"/>
      <c r="GH4975" s="84"/>
    </row>
    <row r="4976" spans="187:190" s="2" customFormat="1" ht="18" customHeight="1" x14ac:dyDescent="0.2">
      <c r="GE4976" s="84"/>
      <c r="GF4976" s="84"/>
      <c r="GG4976" s="84"/>
      <c r="GH4976" s="84"/>
    </row>
    <row r="4977" spans="187:190" s="2" customFormat="1" ht="18" customHeight="1" x14ac:dyDescent="0.2">
      <c r="GE4977" s="84"/>
      <c r="GF4977" s="84"/>
      <c r="GG4977" s="84"/>
      <c r="GH4977" s="84"/>
    </row>
    <row r="4978" spans="187:190" s="2" customFormat="1" ht="18" customHeight="1" x14ac:dyDescent="0.2">
      <c r="GE4978" s="84"/>
      <c r="GF4978" s="84"/>
      <c r="GG4978" s="84"/>
      <c r="GH4978" s="84"/>
    </row>
    <row r="4979" spans="187:190" s="2" customFormat="1" ht="18" customHeight="1" x14ac:dyDescent="0.2">
      <c r="GE4979" s="84"/>
      <c r="GF4979" s="84"/>
      <c r="GG4979" s="84"/>
      <c r="GH4979" s="84"/>
    </row>
    <row r="4980" spans="187:190" s="2" customFormat="1" ht="18" customHeight="1" x14ac:dyDescent="0.2">
      <c r="GE4980" s="84"/>
      <c r="GF4980" s="84"/>
      <c r="GG4980" s="84"/>
      <c r="GH4980" s="84"/>
    </row>
    <row r="4981" spans="187:190" s="2" customFormat="1" ht="18" customHeight="1" x14ac:dyDescent="0.2">
      <c r="GE4981" s="84"/>
      <c r="GF4981" s="84"/>
      <c r="GG4981" s="84"/>
      <c r="GH4981" s="84"/>
    </row>
    <row r="4982" spans="187:190" s="2" customFormat="1" ht="18" customHeight="1" x14ac:dyDescent="0.2">
      <c r="GE4982" s="84"/>
      <c r="GF4982" s="84"/>
      <c r="GG4982" s="84"/>
      <c r="GH4982" s="84"/>
    </row>
    <row r="4983" spans="187:190" s="2" customFormat="1" ht="18" customHeight="1" x14ac:dyDescent="0.2">
      <c r="GE4983" s="84"/>
      <c r="GF4983" s="84"/>
      <c r="GG4983" s="84"/>
      <c r="GH4983" s="84"/>
    </row>
    <row r="4984" spans="187:190" s="2" customFormat="1" ht="18" customHeight="1" x14ac:dyDescent="0.2">
      <c r="GE4984" s="84"/>
      <c r="GF4984" s="84"/>
      <c r="GG4984" s="84"/>
      <c r="GH4984" s="84"/>
    </row>
    <row r="4985" spans="187:190" s="2" customFormat="1" ht="18" customHeight="1" x14ac:dyDescent="0.2">
      <c r="GE4985" s="84"/>
      <c r="GF4985" s="84"/>
      <c r="GG4985" s="84"/>
      <c r="GH4985" s="84"/>
    </row>
    <row r="4986" spans="187:190" s="2" customFormat="1" ht="18" customHeight="1" x14ac:dyDescent="0.2">
      <c r="GE4986" s="84"/>
      <c r="GF4986" s="84"/>
      <c r="GG4986" s="84"/>
      <c r="GH4986" s="84"/>
    </row>
    <row r="4987" spans="187:190" s="2" customFormat="1" ht="18" customHeight="1" x14ac:dyDescent="0.2">
      <c r="GE4987" s="84"/>
      <c r="GF4987" s="84"/>
      <c r="GG4987" s="84"/>
      <c r="GH4987" s="84"/>
    </row>
    <row r="4988" spans="187:190" s="2" customFormat="1" ht="18" customHeight="1" x14ac:dyDescent="0.2">
      <c r="GE4988" s="84"/>
      <c r="GF4988" s="84"/>
      <c r="GG4988" s="84"/>
      <c r="GH4988" s="84"/>
    </row>
    <row r="4989" spans="187:190" s="2" customFormat="1" ht="18" customHeight="1" x14ac:dyDescent="0.2">
      <c r="GE4989" s="84"/>
      <c r="GF4989" s="84"/>
      <c r="GG4989" s="84"/>
      <c r="GH4989" s="84"/>
    </row>
    <row r="4990" spans="187:190" s="2" customFormat="1" ht="18" customHeight="1" x14ac:dyDescent="0.2">
      <c r="GE4990" s="84"/>
      <c r="GF4990" s="84"/>
      <c r="GG4990" s="84"/>
      <c r="GH4990" s="84"/>
    </row>
    <row r="4991" spans="187:190" s="2" customFormat="1" ht="18" customHeight="1" x14ac:dyDescent="0.2">
      <c r="GE4991" s="84"/>
      <c r="GF4991" s="84"/>
      <c r="GG4991" s="84"/>
      <c r="GH4991" s="84"/>
    </row>
    <row r="4992" spans="187:190" s="2" customFormat="1" ht="18" customHeight="1" x14ac:dyDescent="0.2">
      <c r="GE4992" s="84"/>
      <c r="GF4992" s="84"/>
      <c r="GG4992" s="84"/>
      <c r="GH4992" s="84"/>
    </row>
    <row r="4993" spans="187:190" s="2" customFormat="1" ht="18" customHeight="1" x14ac:dyDescent="0.2">
      <c r="GE4993" s="84"/>
      <c r="GF4993" s="84"/>
      <c r="GG4993" s="84"/>
      <c r="GH4993" s="84"/>
    </row>
    <row r="4994" spans="187:190" s="2" customFormat="1" ht="18" customHeight="1" x14ac:dyDescent="0.2">
      <c r="GE4994" s="84"/>
      <c r="GF4994" s="84"/>
      <c r="GG4994" s="84"/>
      <c r="GH4994" s="84"/>
    </row>
    <row r="4995" spans="187:190" s="2" customFormat="1" ht="18" customHeight="1" x14ac:dyDescent="0.2">
      <c r="GE4995" s="84"/>
      <c r="GF4995" s="84"/>
      <c r="GG4995" s="84"/>
      <c r="GH4995" s="84"/>
    </row>
    <row r="4996" spans="187:190" s="2" customFormat="1" ht="18" customHeight="1" x14ac:dyDescent="0.2">
      <c r="GE4996" s="84"/>
      <c r="GF4996" s="84"/>
      <c r="GG4996" s="84"/>
      <c r="GH4996" s="84"/>
    </row>
    <row r="4997" spans="187:190" s="2" customFormat="1" ht="18" customHeight="1" x14ac:dyDescent="0.2">
      <c r="GE4997" s="84"/>
      <c r="GF4997" s="84"/>
      <c r="GG4997" s="84"/>
      <c r="GH4997" s="84"/>
    </row>
    <row r="4998" spans="187:190" s="2" customFormat="1" ht="18" customHeight="1" x14ac:dyDescent="0.2">
      <c r="GE4998" s="84"/>
      <c r="GF4998" s="84"/>
      <c r="GG4998" s="84"/>
      <c r="GH4998" s="84"/>
    </row>
    <row r="4999" spans="187:190" s="2" customFormat="1" ht="18" customHeight="1" x14ac:dyDescent="0.2">
      <c r="GE4999" s="84"/>
      <c r="GF4999" s="84"/>
      <c r="GG4999" s="84"/>
      <c r="GH4999" s="84"/>
    </row>
    <row r="5000" spans="187:190" s="2" customFormat="1" ht="18" customHeight="1" x14ac:dyDescent="0.2">
      <c r="GE5000" s="84"/>
      <c r="GF5000" s="84"/>
      <c r="GG5000" s="84"/>
      <c r="GH5000" s="84"/>
    </row>
    <row r="5001" spans="187:190" s="2" customFormat="1" ht="18" customHeight="1" x14ac:dyDescent="0.2">
      <c r="GE5001" s="84"/>
      <c r="GF5001" s="84"/>
      <c r="GG5001" s="84"/>
      <c r="GH5001" s="84"/>
    </row>
    <row r="5002" spans="187:190" s="2" customFormat="1" ht="18" customHeight="1" x14ac:dyDescent="0.2">
      <c r="GE5002" s="84"/>
      <c r="GF5002" s="84"/>
      <c r="GG5002" s="84"/>
      <c r="GH5002" s="84"/>
    </row>
    <row r="5003" spans="187:190" s="2" customFormat="1" ht="18" customHeight="1" x14ac:dyDescent="0.2">
      <c r="GE5003" s="84"/>
      <c r="GF5003" s="84"/>
      <c r="GG5003" s="84"/>
      <c r="GH5003" s="84"/>
    </row>
    <row r="5004" spans="187:190" s="2" customFormat="1" ht="18" customHeight="1" x14ac:dyDescent="0.2">
      <c r="GE5004" s="84"/>
      <c r="GF5004" s="84"/>
      <c r="GG5004" s="84"/>
      <c r="GH5004" s="84"/>
    </row>
    <row r="5005" spans="187:190" s="2" customFormat="1" ht="18" customHeight="1" x14ac:dyDescent="0.2">
      <c r="GE5005" s="84"/>
      <c r="GF5005" s="84"/>
      <c r="GG5005" s="84"/>
      <c r="GH5005" s="84"/>
    </row>
    <row r="5006" spans="187:190" s="2" customFormat="1" ht="18" customHeight="1" x14ac:dyDescent="0.2">
      <c r="GE5006" s="84"/>
      <c r="GF5006" s="84"/>
      <c r="GG5006" s="84"/>
      <c r="GH5006" s="84"/>
    </row>
    <row r="5007" spans="187:190" s="2" customFormat="1" ht="18" customHeight="1" x14ac:dyDescent="0.2">
      <c r="GE5007" s="84"/>
      <c r="GF5007" s="84"/>
      <c r="GG5007" s="84"/>
      <c r="GH5007" s="84"/>
    </row>
    <row r="5008" spans="187:190" s="2" customFormat="1" ht="18" customHeight="1" x14ac:dyDescent="0.2">
      <c r="GE5008" s="84"/>
      <c r="GF5008" s="84"/>
      <c r="GG5008" s="84"/>
      <c r="GH5008" s="84"/>
    </row>
    <row r="5009" spans="187:190" s="2" customFormat="1" ht="18" customHeight="1" x14ac:dyDescent="0.2">
      <c r="GE5009" s="84"/>
      <c r="GF5009" s="84"/>
      <c r="GG5009" s="84"/>
      <c r="GH5009" s="84"/>
    </row>
    <row r="5010" spans="187:190" s="2" customFormat="1" ht="18" customHeight="1" x14ac:dyDescent="0.2">
      <c r="GE5010" s="84"/>
      <c r="GF5010" s="84"/>
      <c r="GG5010" s="84"/>
      <c r="GH5010" s="84"/>
    </row>
    <row r="5011" spans="187:190" s="2" customFormat="1" ht="18" customHeight="1" x14ac:dyDescent="0.2">
      <c r="GE5011" s="84"/>
      <c r="GF5011" s="84"/>
      <c r="GG5011" s="84"/>
      <c r="GH5011" s="84"/>
    </row>
    <row r="5012" spans="187:190" s="2" customFormat="1" ht="18" customHeight="1" x14ac:dyDescent="0.2">
      <c r="GE5012" s="84"/>
      <c r="GF5012" s="84"/>
      <c r="GG5012" s="84"/>
      <c r="GH5012" s="84"/>
    </row>
    <row r="5013" spans="187:190" s="2" customFormat="1" ht="18" customHeight="1" x14ac:dyDescent="0.2">
      <c r="GE5013" s="84"/>
      <c r="GF5013" s="84"/>
      <c r="GG5013" s="84"/>
      <c r="GH5013" s="84"/>
    </row>
    <row r="5014" spans="187:190" s="2" customFormat="1" ht="18" customHeight="1" x14ac:dyDescent="0.2">
      <c r="GE5014" s="84"/>
      <c r="GF5014" s="84"/>
      <c r="GG5014" s="84"/>
      <c r="GH5014" s="84"/>
    </row>
    <row r="5015" spans="187:190" s="2" customFormat="1" ht="18" customHeight="1" x14ac:dyDescent="0.2">
      <c r="GE5015" s="84"/>
      <c r="GF5015" s="84"/>
      <c r="GG5015" s="84"/>
      <c r="GH5015" s="84"/>
    </row>
    <row r="5016" spans="187:190" s="2" customFormat="1" ht="18" customHeight="1" x14ac:dyDescent="0.2">
      <c r="GE5016" s="84"/>
      <c r="GF5016" s="84"/>
      <c r="GG5016" s="84"/>
      <c r="GH5016" s="84"/>
    </row>
    <row r="5017" spans="187:190" s="2" customFormat="1" ht="18" customHeight="1" x14ac:dyDescent="0.2">
      <c r="GE5017" s="84"/>
      <c r="GF5017" s="84"/>
      <c r="GG5017" s="84"/>
      <c r="GH5017" s="84"/>
    </row>
    <row r="5018" spans="187:190" s="2" customFormat="1" ht="18" customHeight="1" x14ac:dyDescent="0.2">
      <c r="GE5018" s="84"/>
      <c r="GF5018" s="84"/>
      <c r="GG5018" s="84"/>
      <c r="GH5018" s="84"/>
    </row>
    <row r="5019" spans="187:190" s="2" customFormat="1" ht="18" customHeight="1" x14ac:dyDescent="0.2">
      <c r="GE5019" s="84"/>
      <c r="GF5019" s="84"/>
      <c r="GG5019" s="84"/>
      <c r="GH5019" s="84"/>
    </row>
    <row r="5020" spans="187:190" s="2" customFormat="1" ht="18" customHeight="1" x14ac:dyDescent="0.2">
      <c r="GE5020" s="84"/>
      <c r="GF5020" s="84"/>
      <c r="GG5020" s="84"/>
      <c r="GH5020" s="84"/>
    </row>
    <row r="5021" spans="187:190" s="2" customFormat="1" ht="18" customHeight="1" x14ac:dyDescent="0.2">
      <c r="GE5021" s="84"/>
      <c r="GF5021" s="84"/>
      <c r="GG5021" s="84"/>
      <c r="GH5021" s="84"/>
    </row>
    <row r="5022" spans="187:190" s="2" customFormat="1" ht="18" customHeight="1" x14ac:dyDescent="0.2">
      <c r="GE5022" s="84"/>
      <c r="GF5022" s="84"/>
      <c r="GG5022" s="84"/>
      <c r="GH5022" s="84"/>
    </row>
    <row r="5023" spans="187:190" s="2" customFormat="1" ht="18" customHeight="1" x14ac:dyDescent="0.2">
      <c r="GE5023" s="84"/>
      <c r="GF5023" s="84"/>
      <c r="GG5023" s="84"/>
      <c r="GH5023" s="84"/>
    </row>
    <row r="5024" spans="187:190" s="2" customFormat="1" ht="18" customHeight="1" x14ac:dyDescent="0.2">
      <c r="GE5024" s="84"/>
      <c r="GF5024" s="84"/>
      <c r="GG5024" s="84"/>
      <c r="GH5024" s="84"/>
    </row>
    <row r="5025" spans="187:190" s="2" customFormat="1" ht="18" customHeight="1" x14ac:dyDescent="0.2">
      <c r="GE5025" s="84"/>
      <c r="GF5025" s="84"/>
      <c r="GG5025" s="84"/>
      <c r="GH5025" s="84"/>
    </row>
    <row r="5026" spans="187:190" s="2" customFormat="1" ht="18" customHeight="1" x14ac:dyDescent="0.2">
      <c r="GE5026" s="84"/>
      <c r="GF5026" s="84"/>
      <c r="GG5026" s="84"/>
      <c r="GH5026" s="84"/>
    </row>
    <row r="5027" spans="187:190" s="2" customFormat="1" ht="18" customHeight="1" x14ac:dyDescent="0.2">
      <c r="GE5027" s="84"/>
      <c r="GF5027" s="84"/>
      <c r="GG5027" s="84"/>
      <c r="GH5027" s="84"/>
    </row>
    <row r="5028" spans="187:190" s="2" customFormat="1" ht="18" customHeight="1" x14ac:dyDescent="0.2">
      <c r="GE5028" s="84"/>
      <c r="GF5028" s="84"/>
      <c r="GG5028" s="84"/>
      <c r="GH5028" s="84"/>
    </row>
    <row r="5029" spans="187:190" s="2" customFormat="1" ht="18" customHeight="1" x14ac:dyDescent="0.2">
      <c r="GE5029" s="84"/>
      <c r="GF5029" s="84"/>
      <c r="GG5029" s="84"/>
      <c r="GH5029" s="84"/>
    </row>
    <row r="5030" spans="187:190" s="2" customFormat="1" ht="18" customHeight="1" x14ac:dyDescent="0.2">
      <c r="GE5030" s="84"/>
      <c r="GF5030" s="84"/>
      <c r="GG5030" s="84"/>
      <c r="GH5030" s="84"/>
    </row>
    <row r="5031" spans="187:190" s="2" customFormat="1" ht="18" customHeight="1" x14ac:dyDescent="0.2">
      <c r="GE5031" s="84"/>
      <c r="GF5031" s="84"/>
      <c r="GG5031" s="84"/>
      <c r="GH5031" s="84"/>
    </row>
    <row r="5032" spans="187:190" s="2" customFormat="1" ht="18" customHeight="1" x14ac:dyDescent="0.2">
      <c r="GE5032" s="84"/>
      <c r="GF5032" s="84"/>
      <c r="GG5032" s="84"/>
      <c r="GH5032" s="84"/>
    </row>
    <row r="5033" spans="187:190" s="2" customFormat="1" ht="18" customHeight="1" x14ac:dyDescent="0.2">
      <c r="GE5033" s="84"/>
      <c r="GF5033" s="84"/>
      <c r="GG5033" s="84"/>
      <c r="GH5033" s="84"/>
    </row>
    <row r="5034" spans="187:190" s="2" customFormat="1" ht="18" customHeight="1" x14ac:dyDescent="0.2">
      <c r="GE5034" s="84"/>
      <c r="GF5034" s="84"/>
      <c r="GG5034" s="84"/>
      <c r="GH5034" s="84"/>
    </row>
    <row r="5035" spans="187:190" s="2" customFormat="1" ht="18" customHeight="1" x14ac:dyDescent="0.2">
      <c r="GE5035" s="84"/>
      <c r="GF5035" s="84"/>
      <c r="GG5035" s="84"/>
      <c r="GH5035" s="84"/>
    </row>
    <row r="5036" spans="187:190" s="2" customFormat="1" ht="18" customHeight="1" x14ac:dyDescent="0.2">
      <c r="GE5036" s="84"/>
      <c r="GF5036" s="84"/>
      <c r="GG5036" s="84"/>
      <c r="GH5036" s="84"/>
    </row>
    <row r="5037" spans="187:190" s="2" customFormat="1" ht="18" customHeight="1" x14ac:dyDescent="0.2">
      <c r="GE5037" s="84"/>
      <c r="GF5037" s="84"/>
      <c r="GG5037" s="84"/>
      <c r="GH5037" s="84"/>
    </row>
    <row r="5038" spans="187:190" s="2" customFormat="1" ht="18" customHeight="1" x14ac:dyDescent="0.2">
      <c r="GE5038" s="84"/>
      <c r="GF5038" s="84"/>
      <c r="GG5038" s="84"/>
      <c r="GH5038" s="84"/>
    </row>
    <row r="5039" spans="187:190" s="2" customFormat="1" ht="18" customHeight="1" x14ac:dyDescent="0.2">
      <c r="GE5039" s="84"/>
      <c r="GF5039" s="84"/>
      <c r="GG5039" s="84"/>
      <c r="GH5039" s="84"/>
    </row>
    <row r="5040" spans="187:190" s="2" customFormat="1" ht="18" customHeight="1" x14ac:dyDescent="0.2">
      <c r="GE5040" s="84"/>
      <c r="GF5040" s="84"/>
      <c r="GG5040" s="84"/>
      <c r="GH5040" s="84"/>
    </row>
    <row r="5041" spans="187:190" s="2" customFormat="1" ht="18" customHeight="1" x14ac:dyDescent="0.2">
      <c r="GE5041" s="84"/>
      <c r="GF5041" s="84"/>
      <c r="GG5041" s="84"/>
      <c r="GH5041" s="84"/>
    </row>
    <row r="5042" spans="187:190" s="2" customFormat="1" ht="18" customHeight="1" x14ac:dyDescent="0.2">
      <c r="GE5042" s="84"/>
      <c r="GF5042" s="84"/>
      <c r="GG5042" s="84"/>
      <c r="GH5042" s="84"/>
    </row>
    <row r="5043" spans="187:190" s="2" customFormat="1" ht="18" customHeight="1" x14ac:dyDescent="0.2">
      <c r="GE5043" s="84"/>
      <c r="GF5043" s="84"/>
      <c r="GG5043" s="84"/>
      <c r="GH5043" s="84"/>
    </row>
    <row r="5044" spans="187:190" s="2" customFormat="1" ht="18" customHeight="1" x14ac:dyDescent="0.2">
      <c r="GE5044" s="84"/>
      <c r="GF5044" s="84"/>
      <c r="GG5044" s="84"/>
      <c r="GH5044" s="84"/>
    </row>
    <row r="5045" spans="187:190" s="2" customFormat="1" ht="18" customHeight="1" x14ac:dyDescent="0.2">
      <c r="GE5045" s="84"/>
      <c r="GF5045" s="84"/>
      <c r="GG5045" s="84"/>
      <c r="GH5045" s="84"/>
    </row>
    <row r="5046" spans="187:190" s="2" customFormat="1" ht="18" customHeight="1" x14ac:dyDescent="0.2">
      <c r="GE5046" s="84"/>
      <c r="GF5046" s="84"/>
      <c r="GG5046" s="84"/>
      <c r="GH5046" s="84"/>
    </row>
    <row r="5047" spans="187:190" s="2" customFormat="1" ht="18" customHeight="1" x14ac:dyDescent="0.2">
      <c r="GE5047" s="84"/>
      <c r="GF5047" s="84"/>
      <c r="GG5047" s="84"/>
      <c r="GH5047" s="84"/>
    </row>
    <row r="5048" spans="187:190" s="2" customFormat="1" ht="18" customHeight="1" x14ac:dyDescent="0.2">
      <c r="GE5048" s="84"/>
      <c r="GF5048" s="84"/>
      <c r="GG5048" s="84"/>
      <c r="GH5048" s="84"/>
    </row>
    <row r="5049" spans="187:190" s="2" customFormat="1" ht="18" customHeight="1" x14ac:dyDescent="0.2">
      <c r="GE5049" s="84"/>
      <c r="GF5049" s="84"/>
      <c r="GG5049" s="84"/>
      <c r="GH5049" s="84"/>
    </row>
    <row r="5050" spans="187:190" s="2" customFormat="1" ht="18" customHeight="1" x14ac:dyDescent="0.2">
      <c r="GE5050" s="84"/>
      <c r="GF5050" s="84"/>
      <c r="GG5050" s="84"/>
      <c r="GH5050" s="84"/>
    </row>
    <row r="5051" spans="187:190" s="2" customFormat="1" ht="18" customHeight="1" x14ac:dyDescent="0.2">
      <c r="GE5051" s="84"/>
      <c r="GF5051" s="84"/>
      <c r="GG5051" s="84"/>
      <c r="GH5051" s="84"/>
    </row>
    <row r="5052" spans="187:190" s="2" customFormat="1" ht="18" customHeight="1" x14ac:dyDescent="0.2">
      <c r="GE5052" s="84"/>
      <c r="GF5052" s="84"/>
      <c r="GG5052" s="84"/>
      <c r="GH5052" s="84"/>
    </row>
    <row r="5053" spans="187:190" s="2" customFormat="1" ht="18" customHeight="1" x14ac:dyDescent="0.2">
      <c r="GE5053" s="84"/>
      <c r="GF5053" s="84"/>
      <c r="GG5053" s="84"/>
      <c r="GH5053" s="84"/>
    </row>
    <row r="5054" spans="187:190" s="2" customFormat="1" ht="18" customHeight="1" x14ac:dyDescent="0.2">
      <c r="GE5054" s="84"/>
      <c r="GF5054" s="84"/>
      <c r="GG5054" s="84"/>
      <c r="GH5054" s="84"/>
    </row>
    <row r="5055" spans="187:190" s="2" customFormat="1" ht="18" customHeight="1" x14ac:dyDescent="0.2">
      <c r="GE5055" s="84"/>
      <c r="GF5055" s="84"/>
      <c r="GG5055" s="84"/>
      <c r="GH5055" s="84"/>
    </row>
    <row r="5056" spans="187:190" s="2" customFormat="1" ht="18" customHeight="1" x14ac:dyDescent="0.2">
      <c r="GE5056" s="84"/>
      <c r="GF5056" s="84"/>
      <c r="GG5056" s="84"/>
      <c r="GH5056" s="84"/>
    </row>
    <row r="5057" spans="187:190" s="2" customFormat="1" ht="18" customHeight="1" x14ac:dyDescent="0.2">
      <c r="GE5057" s="84"/>
      <c r="GF5057" s="84"/>
      <c r="GG5057" s="84"/>
      <c r="GH5057" s="84"/>
    </row>
    <row r="5058" spans="187:190" s="2" customFormat="1" ht="18" customHeight="1" x14ac:dyDescent="0.2">
      <c r="GE5058" s="84"/>
      <c r="GF5058" s="84"/>
      <c r="GG5058" s="84"/>
      <c r="GH5058" s="84"/>
    </row>
    <row r="5059" spans="187:190" s="2" customFormat="1" ht="18" customHeight="1" x14ac:dyDescent="0.2">
      <c r="GE5059" s="84"/>
      <c r="GF5059" s="84"/>
      <c r="GG5059" s="84"/>
      <c r="GH5059" s="84"/>
    </row>
    <row r="5060" spans="187:190" s="2" customFormat="1" ht="18" customHeight="1" x14ac:dyDescent="0.2">
      <c r="GE5060" s="84"/>
      <c r="GF5060" s="84"/>
      <c r="GG5060" s="84"/>
      <c r="GH5060" s="84"/>
    </row>
    <row r="5061" spans="187:190" s="2" customFormat="1" ht="18" customHeight="1" x14ac:dyDescent="0.2">
      <c r="GE5061" s="84"/>
      <c r="GF5061" s="84"/>
      <c r="GG5061" s="84"/>
      <c r="GH5061" s="84"/>
    </row>
    <row r="5062" spans="187:190" s="2" customFormat="1" ht="18" customHeight="1" x14ac:dyDescent="0.2">
      <c r="GE5062" s="84"/>
      <c r="GF5062" s="84"/>
      <c r="GG5062" s="84"/>
      <c r="GH5062" s="84"/>
    </row>
    <row r="5063" spans="187:190" s="2" customFormat="1" ht="18" customHeight="1" x14ac:dyDescent="0.2">
      <c r="GE5063" s="84"/>
      <c r="GF5063" s="84"/>
      <c r="GG5063" s="84"/>
      <c r="GH5063" s="84"/>
    </row>
    <row r="5064" spans="187:190" s="2" customFormat="1" ht="18" customHeight="1" x14ac:dyDescent="0.2">
      <c r="GE5064" s="84"/>
      <c r="GF5064" s="84"/>
      <c r="GG5064" s="84"/>
      <c r="GH5064" s="84"/>
    </row>
    <row r="5065" spans="187:190" s="2" customFormat="1" ht="18" customHeight="1" x14ac:dyDescent="0.2">
      <c r="GE5065" s="84"/>
      <c r="GF5065" s="84"/>
      <c r="GG5065" s="84"/>
      <c r="GH5065" s="84"/>
    </row>
    <row r="5066" spans="187:190" s="2" customFormat="1" ht="18" customHeight="1" x14ac:dyDescent="0.2">
      <c r="GE5066" s="84"/>
      <c r="GF5066" s="84"/>
      <c r="GG5066" s="84"/>
      <c r="GH5066" s="84"/>
    </row>
    <row r="5067" spans="187:190" s="2" customFormat="1" ht="18" customHeight="1" x14ac:dyDescent="0.2">
      <c r="GE5067" s="84"/>
      <c r="GF5067" s="84"/>
      <c r="GG5067" s="84"/>
      <c r="GH5067" s="84"/>
    </row>
    <row r="5068" spans="187:190" s="2" customFormat="1" ht="18" customHeight="1" x14ac:dyDescent="0.2">
      <c r="GE5068" s="84"/>
      <c r="GF5068" s="84"/>
      <c r="GG5068" s="84"/>
      <c r="GH5068" s="84"/>
    </row>
    <row r="5069" spans="187:190" s="2" customFormat="1" ht="18" customHeight="1" x14ac:dyDescent="0.2">
      <c r="GE5069" s="84"/>
      <c r="GF5069" s="84"/>
      <c r="GG5069" s="84"/>
      <c r="GH5069" s="84"/>
    </row>
    <row r="5070" spans="187:190" s="2" customFormat="1" ht="18" customHeight="1" x14ac:dyDescent="0.2">
      <c r="GE5070" s="84"/>
      <c r="GF5070" s="84"/>
      <c r="GG5070" s="84"/>
      <c r="GH5070" s="84"/>
    </row>
    <row r="5071" spans="187:190" s="2" customFormat="1" ht="18" customHeight="1" x14ac:dyDescent="0.2">
      <c r="GE5071" s="84"/>
      <c r="GF5071" s="84"/>
      <c r="GG5071" s="84"/>
      <c r="GH5071" s="84"/>
    </row>
    <row r="5072" spans="187:190" s="2" customFormat="1" ht="18" customHeight="1" x14ac:dyDescent="0.2">
      <c r="GE5072" s="84"/>
      <c r="GF5072" s="84"/>
      <c r="GG5072" s="84"/>
      <c r="GH5072" s="84"/>
    </row>
    <row r="5073" spans="187:190" s="2" customFormat="1" ht="18" customHeight="1" x14ac:dyDescent="0.2">
      <c r="GE5073" s="84"/>
      <c r="GF5073" s="84"/>
      <c r="GG5073" s="84"/>
      <c r="GH5073" s="84"/>
    </row>
    <row r="5074" spans="187:190" s="2" customFormat="1" ht="18" customHeight="1" x14ac:dyDescent="0.2">
      <c r="GE5074" s="84"/>
      <c r="GF5074" s="84"/>
      <c r="GG5074" s="84"/>
      <c r="GH5074" s="84"/>
    </row>
    <row r="5075" spans="187:190" s="2" customFormat="1" ht="18" customHeight="1" x14ac:dyDescent="0.2">
      <c r="GE5075" s="84"/>
      <c r="GF5075" s="84"/>
      <c r="GG5075" s="84"/>
      <c r="GH5075" s="84"/>
    </row>
    <row r="5076" spans="187:190" s="2" customFormat="1" ht="18" customHeight="1" x14ac:dyDescent="0.2">
      <c r="GE5076" s="84"/>
      <c r="GF5076" s="84"/>
      <c r="GG5076" s="84"/>
      <c r="GH5076" s="84"/>
    </row>
    <row r="5077" spans="187:190" s="2" customFormat="1" ht="18" customHeight="1" x14ac:dyDescent="0.2">
      <c r="GE5077" s="84"/>
      <c r="GF5077" s="84"/>
      <c r="GG5077" s="84"/>
      <c r="GH5077" s="84"/>
    </row>
    <row r="5078" spans="187:190" s="2" customFormat="1" ht="18" customHeight="1" x14ac:dyDescent="0.2">
      <c r="GE5078" s="84"/>
      <c r="GF5078" s="84"/>
      <c r="GG5078" s="84"/>
      <c r="GH5078" s="84"/>
    </row>
    <row r="5079" spans="187:190" s="2" customFormat="1" ht="18" customHeight="1" x14ac:dyDescent="0.2">
      <c r="GE5079" s="84"/>
      <c r="GF5079" s="84"/>
      <c r="GG5079" s="84"/>
      <c r="GH5079" s="84"/>
    </row>
    <row r="5080" spans="187:190" s="2" customFormat="1" ht="18" customHeight="1" x14ac:dyDescent="0.2">
      <c r="GE5080" s="84"/>
      <c r="GF5080" s="84"/>
      <c r="GG5080" s="84"/>
      <c r="GH5080" s="84"/>
    </row>
    <row r="5081" spans="187:190" s="2" customFormat="1" ht="18" customHeight="1" x14ac:dyDescent="0.2">
      <c r="GE5081" s="84"/>
      <c r="GF5081" s="84"/>
      <c r="GG5081" s="84"/>
      <c r="GH5081" s="84"/>
    </row>
    <row r="5082" spans="187:190" s="2" customFormat="1" ht="18" customHeight="1" x14ac:dyDescent="0.2">
      <c r="GE5082" s="84"/>
      <c r="GF5082" s="84"/>
      <c r="GG5082" s="84"/>
      <c r="GH5082" s="84"/>
    </row>
    <row r="5083" spans="187:190" s="2" customFormat="1" ht="18" customHeight="1" x14ac:dyDescent="0.2">
      <c r="GE5083" s="84"/>
      <c r="GF5083" s="84"/>
      <c r="GG5083" s="84"/>
      <c r="GH5083" s="84"/>
    </row>
    <row r="5084" spans="187:190" s="2" customFormat="1" ht="18" customHeight="1" x14ac:dyDescent="0.2">
      <c r="GE5084" s="84"/>
      <c r="GF5084" s="84"/>
      <c r="GG5084" s="84"/>
      <c r="GH5084" s="84"/>
    </row>
    <row r="5085" spans="187:190" s="2" customFormat="1" ht="18" customHeight="1" x14ac:dyDescent="0.2">
      <c r="GE5085" s="84"/>
      <c r="GF5085" s="84"/>
      <c r="GG5085" s="84"/>
      <c r="GH5085" s="84"/>
    </row>
    <row r="5086" spans="187:190" s="2" customFormat="1" ht="18" customHeight="1" x14ac:dyDescent="0.2">
      <c r="GE5086" s="84"/>
      <c r="GF5086" s="84"/>
      <c r="GG5086" s="84"/>
      <c r="GH5086" s="84"/>
    </row>
    <row r="5087" spans="187:190" s="2" customFormat="1" ht="18" customHeight="1" x14ac:dyDescent="0.2">
      <c r="GE5087" s="84"/>
      <c r="GF5087" s="84"/>
      <c r="GG5087" s="84"/>
      <c r="GH5087" s="84"/>
    </row>
    <row r="5088" spans="187:190" s="2" customFormat="1" ht="18" customHeight="1" x14ac:dyDescent="0.2">
      <c r="GE5088" s="84"/>
      <c r="GF5088" s="84"/>
      <c r="GG5088" s="84"/>
      <c r="GH5088" s="84"/>
    </row>
    <row r="5089" spans="187:190" s="2" customFormat="1" ht="18" customHeight="1" x14ac:dyDescent="0.2">
      <c r="GE5089" s="84"/>
      <c r="GF5089" s="84"/>
      <c r="GG5089" s="84"/>
      <c r="GH5089" s="84"/>
    </row>
    <row r="5090" spans="187:190" s="2" customFormat="1" ht="18" customHeight="1" x14ac:dyDescent="0.2">
      <c r="GE5090" s="84"/>
      <c r="GF5090" s="84"/>
      <c r="GG5090" s="84"/>
      <c r="GH5090" s="84"/>
    </row>
    <row r="5091" spans="187:190" s="2" customFormat="1" ht="18" customHeight="1" x14ac:dyDescent="0.2">
      <c r="GE5091" s="84"/>
      <c r="GF5091" s="84"/>
      <c r="GG5091" s="84"/>
      <c r="GH5091" s="84"/>
    </row>
    <row r="5092" spans="187:190" s="2" customFormat="1" ht="18" customHeight="1" x14ac:dyDescent="0.2">
      <c r="GE5092" s="84"/>
      <c r="GF5092" s="84"/>
      <c r="GG5092" s="84"/>
      <c r="GH5092" s="84"/>
    </row>
    <row r="5093" spans="187:190" s="2" customFormat="1" ht="18" customHeight="1" x14ac:dyDescent="0.2">
      <c r="GE5093" s="84"/>
      <c r="GF5093" s="84"/>
      <c r="GG5093" s="84"/>
      <c r="GH5093" s="84"/>
    </row>
    <row r="5094" spans="187:190" s="2" customFormat="1" ht="18" customHeight="1" x14ac:dyDescent="0.2">
      <c r="GE5094" s="84"/>
      <c r="GF5094" s="84"/>
      <c r="GG5094" s="84"/>
      <c r="GH5094" s="84"/>
    </row>
    <row r="5095" spans="187:190" s="2" customFormat="1" ht="18" customHeight="1" x14ac:dyDescent="0.2">
      <c r="GE5095" s="84"/>
      <c r="GF5095" s="84"/>
      <c r="GG5095" s="84"/>
      <c r="GH5095" s="84"/>
    </row>
    <row r="5096" spans="187:190" s="2" customFormat="1" ht="18" customHeight="1" x14ac:dyDescent="0.2">
      <c r="GE5096" s="84"/>
      <c r="GF5096" s="84"/>
      <c r="GG5096" s="84"/>
      <c r="GH5096" s="84"/>
    </row>
    <row r="5097" spans="187:190" s="2" customFormat="1" ht="18" customHeight="1" x14ac:dyDescent="0.2">
      <c r="GE5097" s="84"/>
      <c r="GF5097" s="84"/>
      <c r="GG5097" s="84"/>
      <c r="GH5097" s="84"/>
    </row>
    <row r="5098" spans="187:190" s="2" customFormat="1" ht="18" customHeight="1" x14ac:dyDescent="0.2">
      <c r="GE5098" s="84"/>
      <c r="GF5098" s="84"/>
      <c r="GG5098" s="84"/>
      <c r="GH5098" s="84"/>
    </row>
    <row r="5099" spans="187:190" s="2" customFormat="1" ht="18" customHeight="1" x14ac:dyDescent="0.2">
      <c r="GE5099" s="84"/>
      <c r="GF5099" s="84"/>
      <c r="GG5099" s="84"/>
      <c r="GH5099" s="84"/>
    </row>
    <row r="5100" spans="187:190" s="2" customFormat="1" ht="18" customHeight="1" x14ac:dyDescent="0.2">
      <c r="GE5100" s="84"/>
      <c r="GF5100" s="84"/>
      <c r="GG5100" s="84"/>
      <c r="GH5100" s="84"/>
    </row>
    <row r="5101" spans="187:190" s="2" customFormat="1" ht="18" customHeight="1" x14ac:dyDescent="0.2">
      <c r="GE5101" s="84"/>
      <c r="GF5101" s="84"/>
      <c r="GG5101" s="84"/>
      <c r="GH5101" s="84"/>
    </row>
    <row r="5102" spans="187:190" s="2" customFormat="1" ht="18" customHeight="1" x14ac:dyDescent="0.2">
      <c r="GE5102" s="84"/>
      <c r="GF5102" s="84"/>
      <c r="GG5102" s="84"/>
      <c r="GH5102" s="84"/>
    </row>
    <row r="5103" spans="187:190" s="2" customFormat="1" ht="18" customHeight="1" x14ac:dyDescent="0.2">
      <c r="GE5103" s="84"/>
      <c r="GF5103" s="84"/>
      <c r="GG5103" s="84"/>
      <c r="GH5103" s="84"/>
    </row>
    <row r="5104" spans="187:190" s="2" customFormat="1" ht="18" customHeight="1" x14ac:dyDescent="0.2">
      <c r="GE5104" s="84"/>
      <c r="GF5104" s="84"/>
      <c r="GG5104" s="84"/>
      <c r="GH5104" s="84"/>
    </row>
    <row r="5105" spans="187:190" s="2" customFormat="1" ht="18" customHeight="1" x14ac:dyDescent="0.2">
      <c r="GE5105" s="84"/>
      <c r="GF5105" s="84"/>
      <c r="GG5105" s="84"/>
      <c r="GH5105" s="84"/>
    </row>
    <row r="5106" spans="187:190" s="2" customFormat="1" ht="18" customHeight="1" x14ac:dyDescent="0.2">
      <c r="GE5106" s="84"/>
      <c r="GF5106" s="84"/>
      <c r="GG5106" s="84"/>
      <c r="GH5106" s="84"/>
    </row>
    <row r="5107" spans="187:190" s="2" customFormat="1" ht="18" customHeight="1" x14ac:dyDescent="0.2">
      <c r="GE5107" s="84"/>
      <c r="GF5107" s="84"/>
      <c r="GG5107" s="84"/>
      <c r="GH5107" s="84"/>
    </row>
    <row r="5108" spans="187:190" s="2" customFormat="1" ht="18" customHeight="1" x14ac:dyDescent="0.2">
      <c r="GE5108" s="84"/>
      <c r="GF5108" s="84"/>
      <c r="GG5108" s="84"/>
      <c r="GH5108" s="84"/>
    </row>
    <row r="5109" spans="187:190" s="2" customFormat="1" ht="18" customHeight="1" x14ac:dyDescent="0.2">
      <c r="GE5109" s="84"/>
      <c r="GF5109" s="84"/>
      <c r="GG5109" s="84"/>
      <c r="GH5109" s="84"/>
    </row>
    <row r="5110" spans="187:190" s="2" customFormat="1" ht="18" customHeight="1" x14ac:dyDescent="0.2">
      <c r="GE5110" s="84"/>
      <c r="GF5110" s="84"/>
      <c r="GG5110" s="84"/>
      <c r="GH5110" s="84"/>
    </row>
    <row r="5111" spans="187:190" s="2" customFormat="1" ht="18" customHeight="1" x14ac:dyDescent="0.2">
      <c r="GE5111" s="84"/>
      <c r="GF5111" s="84"/>
      <c r="GG5111" s="84"/>
      <c r="GH5111" s="84"/>
    </row>
    <row r="5112" spans="187:190" s="2" customFormat="1" ht="18" customHeight="1" x14ac:dyDescent="0.2">
      <c r="GE5112" s="84"/>
      <c r="GF5112" s="84"/>
      <c r="GG5112" s="84"/>
      <c r="GH5112" s="84"/>
    </row>
    <row r="5113" spans="187:190" s="2" customFormat="1" ht="18" customHeight="1" x14ac:dyDescent="0.2">
      <c r="GE5113" s="84"/>
      <c r="GF5113" s="84"/>
      <c r="GG5113" s="84"/>
      <c r="GH5113" s="84"/>
    </row>
    <row r="5114" spans="187:190" s="2" customFormat="1" ht="18" customHeight="1" x14ac:dyDescent="0.2">
      <c r="GE5114" s="84"/>
      <c r="GF5114" s="84"/>
      <c r="GG5114" s="84"/>
      <c r="GH5114" s="84"/>
    </row>
    <row r="5115" spans="187:190" s="2" customFormat="1" ht="18" customHeight="1" x14ac:dyDescent="0.2">
      <c r="GE5115" s="84"/>
      <c r="GF5115" s="84"/>
      <c r="GG5115" s="84"/>
      <c r="GH5115" s="84"/>
    </row>
    <row r="5116" spans="187:190" s="2" customFormat="1" ht="18" customHeight="1" x14ac:dyDescent="0.2">
      <c r="GE5116" s="84"/>
      <c r="GF5116" s="84"/>
      <c r="GG5116" s="84"/>
      <c r="GH5116" s="84"/>
    </row>
    <row r="5117" spans="187:190" s="2" customFormat="1" ht="18" customHeight="1" x14ac:dyDescent="0.2">
      <c r="GE5117" s="84"/>
      <c r="GF5117" s="84"/>
      <c r="GG5117" s="84"/>
      <c r="GH5117" s="84"/>
    </row>
    <row r="5118" spans="187:190" s="2" customFormat="1" ht="18" customHeight="1" x14ac:dyDescent="0.2">
      <c r="GE5118" s="84"/>
      <c r="GF5118" s="84"/>
      <c r="GG5118" s="84"/>
      <c r="GH5118" s="84"/>
    </row>
    <row r="5119" spans="187:190" s="2" customFormat="1" ht="18" customHeight="1" x14ac:dyDescent="0.2">
      <c r="GE5119" s="84"/>
      <c r="GF5119" s="84"/>
      <c r="GG5119" s="84"/>
      <c r="GH5119" s="84"/>
    </row>
    <row r="5120" spans="187:190" s="2" customFormat="1" ht="18" customHeight="1" x14ac:dyDescent="0.2">
      <c r="GE5120" s="84"/>
      <c r="GF5120" s="84"/>
      <c r="GG5120" s="84"/>
      <c r="GH5120" s="84"/>
    </row>
    <row r="5121" spans="187:190" s="2" customFormat="1" ht="18" customHeight="1" x14ac:dyDescent="0.2">
      <c r="GE5121" s="84"/>
      <c r="GF5121" s="84"/>
      <c r="GG5121" s="84"/>
      <c r="GH5121" s="84"/>
    </row>
    <row r="5122" spans="187:190" s="2" customFormat="1" ht="18" customHeight="1" x14ac:dyDescent="0.2">
      <c r="GE5122" s="84"/>
      <c r="GF5122" s="84"/>
      <c r="GG5122" s="84"/>
      <c r="GH5122" s="84"/>
    </row>
    <row r="5123" spans="187:190" s="2" customFormat="1" ht="18" customHeight="1" x14ac:dyDescent="0.2">
      <c r="GE5123" s="84"/>
      <c r="GF5123" s="84"/>
      <c r="GG5123" s="84"/>
      <c r="GH5123" s="84"/>
    </row>
    <row r="5124" spans="187:190" s="2" customFormat="1" ht="18" customHeight="1" x14ac:dyDescent="0.2">
      <c r="GE5124" s="84"/>
      <c r="GF5124" s="84"/>
      <c r="GG5124" s="84"/>
      <c r="GH5124" s="84"/>
    </row>
    <row r="5125" spans="187:190" s="2" customFormat="1" ht="18" customHeight="1" x14ac:dyDescent="0.2">
      <c r="GE5125" s="84"/>
      <c r="GF5125" s="84"/>
      <c r="GG5125" s="84"/>
      <c r="GH5125" s="84"/>
    </row>
    <row r="5126" spans="187:190" s="2" customFormat="1" ht="18" customHeight="1" x14ac:dyDescent="0.2">
      <c r="GE5126" s="84"/>
      <c r="GF5126" s="84"/>
      <c r="GG5126" s="84"/>
      <c r="GH5126" s="84"/>
    </row>
    <row r="5127" spans="187:190" s="2" customFormat="1" ht="18" customHeight="1" x14ac:dyDescent="0.2">
      <c r="GE5127" s="84"/>
      <c r="GF5127" s="84"/>
      <c r="GG5127" s="84"/>
      <c r="GH5127" s="84"/>
    </row>
    <row r="5128" spans="187:190" s="2" customFormat="1" ht="18" customHeight="1" x14ac:dyDescent="0.2">
      <c r="GE5128" s="84"/>
      <c r="GF5128" s="84"/>
      <c r="GG5128" s="84"/>
      <c r="GH5128" s="84"/>
    </row>
    <row r="5129" spans="187:190" s="2" customFormat="1" ht="18" customHeight="1" x14ac:dyDescent="0.2">
      <c r="GE5129" s="84"/>
      <c r="GF5129" s="84"/>
      <c r="GG5129" s="84"/>
      <c r="GH5129" s="84"/>
    </row>
    <row r="5130" spans="187:190" s="2" customFormat="1" ht="18" customHeight="1" x14ac:dyDescent="0.2">
      <c r="GE5130" s="84"/>
      <c r="GF5130" s="84"/>
      <c r="GG5130" s="84"/>
      <c r="GH5130" s="84"/>
    </row>
    <row r="5131" spans="187:190" s="2" customFormat="1" ht="18" customHeight="1" x14ac:dyDescent="0.2">
      <c r="GE5131" s="84"/>
      <c r="GF5131" s="84"/>
      <c r="GG5131" s="84"/>
      <c r="GH5131" s="84"/>
    </row>
    <row r="5132" spans="187:190" s="2" customFormat="1" ht="18" customHeight="1" x14ac:dyDescent="0.2">
      <c r="GE5132" s="84"/>
      <c r="GF5132" s="84"/>
      <c r="GG5132" s="84"/>
      <c r="GH5132" s="84"/>
    </row>
    <row r="5133" spans="187:190" s="2" customFormat="1" ht="18" customHeight="1" x14ac:dyDescent="0.2">
      <c r="GE5133" s="84"/>
      <c r="GF5133" s="84"/>
      <c r="GG5133" s="84"/>
      <c r="GH5133" s="84"/>
    </row>
    <row r="5134" spans="187:190" s="2" customFormat="1" ht="18" customHeight="1" x14ac:dyDescent="0.2">
      <c r="GE5134" s="84"/>
      <c r="GF5134" s="84"/>
      <c r="GG5134" s="84"/>
      <c r="GH5134" s="84"/>
    </row>
    <row r="5135" spans="187:190" s="2" customFormat="1" ht="18" customHeight="1" x14ac:dyDescent="0.2">
      <c r="GE5135" s="84"/>
      <c r="GF5135" s="84"/>
      <c r="GG5135" s="84"/>
      <c r="GH5135" s="84"/>
    </row>
    <row r="5136" spans="187:190" s="2" customFormat="1" ht="18" customHeight="1" x14ac:dyDescent="0.2">
      <c r="GE5136" s="84"/>
      <c r="GF5136" s="84"/>
      <c r="GG5136" s="84"/>
      <c r="GH5136" s="84"/>
    </row>
    <row r="5137" spans="187:190" s="2" customFormat="1" ht="18" customHeight="1" x14ac:dyDescent="0.2">
      <c r="GE5137" s="84"/>
      <c r="GF5137" s="84"/>
      <c r="GG5137" s="84"/>
      <c r="GH5137" s="84"/>
    </row>
    <row r="5138" spans="187:190" s="2" customFormat="1" ht="18" customHeight="1" x14ac:dyDescent="0.2">
      <c r="GE5138" s="84"/>
      <c r="GF5138" s="84"/>
      <c r="GG5138" s="84"/>
      <c r="GH5138" s="84"/>
    </row>
    <row r="5139" spans="187:190" s="2" customFormat="1" ht="18" customHeight="1" x14ac:dyDescent="0.2">
      <c r="GE5139" s="84"/>
      <c r="GF5139" s="84"/>
      <c r="GG5139" s="84"/>
      <c r="GH5139" s="84"/>
    </row>
    <row r="5140" spans="187:190" s="2" customFormat="1" ht="18" customHeight="1" x14ac:dyDescent="0.2">
      <c r="GE5140" s="84"/>
      <c r="GF5140" s="84"/>
      <c r="GG5140" s="84"/>
      <c r="GH5140" s="84"/>
    </row>
    <row r="5141" spans="187:190" s="2" customFormat="1" ht="18" customHeight="1" x14ac:dyDescent="0.2">
      <c r="GE5141" s="84"/>
      <c r="GF5141" s="84"/>
      <c r="GG5141" s="84"/>
      <c r="GH5141" s="84"/>
    </row>
    <row r="5142" spans="187:190" s="2" customFormat="1" ht="18" customHeight="1" x14ac:dyDescent="0.2">
      <c r="GE5142" s="84"/>
      <c r="GF5142" s="84"/>
      <c r="GG5142" s="84"/>
      <c r="GH5142" s="84"/>
    </row>
    <row r="5143" spans="187:190" s="2" customFormat="1" ht="18" customHeight="1" x14ac:dyDescent="0.2">
      <c r="GE5143" s="84"/>
      <c r="GF5143" s="84"/>
      <c r="GG5143" s="84"/>
      <c r="GH5143" s="84"/>
    </row>
    <row r="5144" spans="187:190" s="2" customFormat="1" ht="18" customHeight="1" x14ac:dyDescent="0.2">
      <c r="GE5144" s="84"/>
      <c r="GF5144" s="84"/>
      <c r="GG5144" s="84"/>
      <c r="GH5144" s="84"/>
    </row>
    <row r="5145" spans="187:190" s="2" customFormat="1" ht="18" customHeight="1" x14ac:dyDescent="0.2">
      <c r="GE5145" s="84"/>
      <c r="GF5145" s="84"/>
      <c r="GG5145" s="84"/>
      <c r="GH5145" s="84"/>
    </row>
    <row r="5146" spans="187:190" s="2" customFormat="1" ht="18" customHeight="1" x14ac:dyDescent="0.2">
      <c r="GE5146" s="84"/>
      <c r="GF5146" s="84"/>
      <c r="GG5146" s="84"/>
      <c r="GH5146" s="84"/>
    </row>
    <row r="5147" spans="187:190" s="2" customFormat="1" ht="18" customHeight="1" x14ac:dyDescent="0.2">
      <c r="GE5147" s="84"/>
      <c r="GF5147" s="84"/>
      <c r="GG5147" s="84"/>
      <c r="GH5147" s="84"/>
    </row>
    <row r="5148" spans="187:190" s="2" customFormat="1" ht="18" customHeight="1" x14ac:dyDescent="0.2">
      <c r="GE5148" s="84"/>
      <c r="GF5148" s="84"/>
      <c r="GG5148" s="84"/>
      <c r="GH5148" s="84"/>
    </row>
    <row r="5149" spans="187:190" s="2" customFormat="1" ht="18" customHeight="1" x14ac:dyDescent="0.2">
      <c r="GE5149" s="84"/>
      <c r="GF5149" s="84"/>
      <c r="GG5149" s="84"/>
      <c r="GH5149" s="84"/>
    </row>
    <row r="5150" spans="187:190" s="2" customFormat="1" ht="18" customHeight="1" x14ac:dyDescent="0.2">
      <c r="GE5150" s="84"/>
      <c r="GF5150" s="84"/>
      <c r="GG5150" s="84"/>
      <c r="GH5150" s="84"/>
    </row>
    <row r="5151" spans="187:190" s="2" customFormat="1" ht="18" customHeight="1" x14ac:dyDescent="0.2">
      <c r="GE5151" s="84"/>
      <c r="GF5151" s="84"/>
      <c r="GG5151" s="84"/>
      <c r="GH5151" s="84"/>
    </row>
    <row r="5152" spans="187:190" s="2" customFormat="1" ht="18" customHeight="1" x14ac:dyDescent="0.2">
      <c r="GE5152" s="84"/>
      <c r="GF5152" s="84"/>
      <c r="GG5152" s="84"/>
      <c r="GH5152" s="84"/>
    </row>
    <row r="5153" spans="187:190" s="2" customFormat="1" ht="18" customHeight="1" x14ac:dyDescent="0.2">
      <c r="GE5153" s="84"/>
      <c r="GF5153" s="84"/>
      <c r="GG5153" s="84"/>
      <c r="GH5153" s="84"/>
    </row>
    <row r="5154" spans="187:190" s="2" customFormat="1" ht="18" customHeight="1" x14ac:dyDescent="0.2">
      <c r="GE5154" s="84"/>
      <c r="GF5154" s="84"/>
      <c r="GG5154" s="84"/>
      <c r="GH5154" s="84"/>
    </row>
    <row r="5155" spans="187:190" s="2" customFormat="1" ht="18" customHeight="1" x14ac:dyDescent="0.2">
      <c r="GE5155" s="84"/>
      <c r="GF5155" s="84"/>
      <c r="GG5155" s="84"/>
      <c r="GH5155" s="84"/>
    </row>
    <row r="5156" spans="187:190" s="2" customFormat="1" ht="18" customHeight="1" x14ac:dyDescent="0.2">
      <c r="GE5156" s="84"/>
      <c r="GF5156" s="84"/>
      <c r="GG5156" s="84"/>
      <c r="GH5156" s="84"/>
    </row>
    <row r="5157" spans="187:190" s="2" customFormat="1" ht="18" customHeight="1" x14ac:dyDescent="0.2">
      <c r="GE5157" s="84"/>
      <c r="GF5157" s="84"/>
      <c r="GG5157" s="84"/>
      <c r="GH5157" s="84"/>
    </row>
    <row r="5158" spans="187:190" s="2" customFormat="1" ht="18" customHeight="1" x14ac:dyDescent="0.2">
      <c r="GE5158" s="84"/>
      <c r="GF5158" s="84"/>
      <c r="GG5158" s="84"/>
      <c r="GH5158" s="84"/>
    </row>
    <row r="5159" spans="187:190" s="2" customFormat="1" ht="18" customHeight="1" x14ac:dyDescent="0.2">
      <c r="GE5159" s="84"/>
      <c r="GF5159" s="84"/>
      <c r="GG5159" s="84"/>
      <c r="GH5159" s="84"/>
    </row>
    <row r="5160" spans="187:190" s="2" customFormat="1" ht="18" customHeight="1" x14ac:dyDescent="0.2">
      <c r="GE5160" s="84"/>
      <c r="GF5160" s="84"/>
      <c r="GG5160" s="84"/>
      <c r="GH5160" s="84"/>
    </row>
    <row r="5161" spans="187:190" s="2" customFormat="1" ht="18" customHeight="1" x14ac:dyDescent="0.2">
      <c r="GE5161" s="84"/>
      <c r="GF5161" s="84"/>
      <c r="GG5161" s="84"/>
      <c r="GH5161" s="84"/>
    </row>
    <row r="5162" spans="187:190" s="2" customFormat="1" ht="18" customHeight="1" x14ac:dyDescent="0.2">
      <c r="GE5162" s="84"/>
      <c r="GF5162" s="84"/>
      <c r="GG5162" s="84"/>
      <c r="GH5162" s="84"/>
    </row>
    <row r="5163" spans="187:190" s="2" customFormat="1" ht="18" customHeight="1" x14ac:dyDescent="0.2">
      <c r="GE5163" s="84"/>
      <c r="GF5163" s="84"/>
      <c r="GG5163" s="84"/>
      <c r="GH5163" s="84"/>
    </row>
    <row r="5164" spans="187:190" s="2" customFormat="1" ht="18" customHeight="1" x14ac:dyDescent="0.2">
      <c r="GE5164" s="84"/>
      <c r="GF5164" s="84"/>
      <c r="GG5164" s="84"/>
      <c r="GH5164" s="84"/>
    </row>
    <row r="5165" spans="187:190" s="2" customFormat="1" ht="18" customHeight="1" x14ac:dyDescent="0.2">
      <c r="GE5165" s="84"/>
      <c r="GF5165" s="84"/>
      <c r="GG5165" s="84"/>
      <c r="GH5165" s="84"/>
    </row>
    <row r="5166" spans="187:190" s="2" customFormat="1" ht="18" customHeight="1" x14ac:dyDescent="0.2">
      <c r="GE5166" s="84"/>
      <c r="GF5166" s="84"/>
      <c r="GG5166" s="84"/>
      <c r="GH5166" s="84"/>
    </row>
    <row r="5167" spans="187:190" s="2" customFormat="1" ht="18" customHeight="1" x14ac:dyDescent="0.2">
      <c r="GE5167" s="84"/>
      <c r="GF5167" s="84"/>
      <c r="GG5167" s="84"/>
      <c r="GH5167" s="84"/>
    </row>
    <row r="5168" spans="187:190" s="2" customFormat="1" ht="18" customHeight="1" x14ac:dyDescent="0.2">
      <c r="GE5168" s="84"/>
      <c r="GF5168" s="84"/>
      <c r="GG5168" s="84"/>
      <c r="GH5168" s="84"/>
    </row>
    <row r="5169" spans="187:190" s="2" customFormat="1" ht="18" customHeight="1" x14ac:dyDescent="0.2">
      <c r="GE5169" s="84"/>
      <c r="GF5169" s="84"/>
      <c r="GG5169" s="84"/>
      <c r="GH5169" s="84"/>
    </row>
    <row r="5170" spans="187:190" s="2" customFormat="1" ht="18" customHeight="1" x14ac:dyDescent="0.2">
      <c r="GE5170" s="84"/>
      <c r="GF5170" s="84"/>
      <c r="GG5170" s="84"/>
      <c r="GH5170" s="84"/>
    </row>
    <row r="5171" spans="187:190" s="2" customFormat="1" ht="18" customHeight="1" x14ac:dyDescent="0.2">
      <c r="GE5171" s="84"/>
      <c r="GF5171" s="84"/>
      <c r="GG5171" s="84"/>
      <c r="GH5171" s="84"/>
    </row>
    <row r="5172" spans="187:190" s="2" customFormat="1" ht="18" customHeight="1" x14ac:dyDescent="0.2">
      <c r="GE5172" s="84"/>
      <c r="GF5172" s="84"/>
      <c r="GG5172" s="84"/>
      <c r="GH5172" s="84"/>
    </row>
    <row r="5173" spans="187:190" s="2" customFormat="1" ht="18" customHeight="1" x14ac:dyDescent="0.2">
      <c r="GE5173" s="84"/>
      <c r="GF5173" s="84"/>
      <c r="GG5173" s="84"/>
      <c r="GH5173" s="84"/>
    </row>
    <row r="5174" spans="187:190" s="2" customFormat="1" ht="18" customHeight="1" x14ac:dyDescent="0.2">
      <c r="GE5174" s="84"/>
      <c r="GF5174" s="84"/>
      <c r="GG5174" s="84"/>
      <c r="GH5174" s="84"/>
    </row>
    <row r="5175" spans="187:190" s="2" customFormat="1" ht="18" customHeight="1" x14ac:dyDescent="0.2">
      <c r="GE5175" s="84"/>
      <c r="GF5175" s="84"/>
      <c r="GG5175" s="84"/>
      <c r="GH5175" s="84"/>
    </row>
    <row r="5176" spans="187:190" s="2" customFormat="1" ht="18" customHeight="1" x14ac:dyDescent="0.2">
      <c r="GE5176" s="84"/>
      <c r="GF5176" s="84"/>
      <c r="GG5176" s="84"/>
      <c r="GH5176" s="84"/>
    </row>
    <row r="5177" spans="187:190" s="2" customFormat="1" ht="18" customHeight="1" x14ac:dyDescent="0.2">
      <c r="GE5177" s="84"/>
      <c r="GF5177" s="84"/>
      <c r="GG5177" s="84"/>
      <c r="GH5177" s="84"/>
    </row>
    <row r="5178" spans="187:190" s="2" customFormat="1" ht="18" customHeight="1" x14ac:dyDescent="0.2">
      <c r="GE5178" s="84"/>
      <c r="GF5178" s="84"/>
      <c r="GG5178" s="84"/>
      <c r="GH5178" s="84"/>
    </row>
    <row r="5179" spans="187:190" s="2" customFormat="1" ht="18" customHeight="1" x14ac:dyDescent="0.2">
      <c r="GE5179" s="84"/>
      <c r="GF5179" s="84"/>
      <c r="GG5179" s="84"/>
      <c r="GH5179" s="84"/>
    </row>
    <row r="5180" spans="187:190" s="2" customFormat="1" ht="18" customHeight="1" x14ac:dyDescent="0.2">
      <c r="GE5180" s="84"/>
      <c r="GF5180" s="84"/>
      <c r="GG5180" s="84"/>
      <c r="GH5180" s="84"/>
    </row>
    <row r="5181" spans="187:190" s="2" customFormat="1" ht="18" customHeight="1" x14ac:dyDescent="0.2">
      <c r="GE5181" s="84"/>
      <c r="GF5181" s="84"/>
      <c r="GG5181" s="84"/>
      <c r="GH5181" s="84"/>
    </row>
    <row r="5182" spans="187:190" s="2" customFormat="1" ht="18" customHeight="1" x14ac:dyDescent="0.2">
      <c r="GE5182" s="84"/>
      <c r="GF5182" s="84"/>
      <c r="GG5182" s="84"/>
      <c r="GH5182" s="84"/>
    </row>
    <row r="5183" spans="187:190" s="2" customFormat="1" ht="18" customHeight="1" x14ac:dyDescent="0.2">
      <c r="GE5183" s="84"/>
      <c r="GF5183" s="84"/>
      <c r="GG5183" s="84"/>
      <c r="GH5183" s="84"/>
    </row>
    <row r="5184" spans="187:190" s="2" customFormat="1" ht="18" customHeight="1" x14ac:dyDescent="0.2">
      <c r="GE5184" s="84"/>
      <c r="GF5184" s="84"/>
      <c r="GG5184" s="84"/>
      <c r="GH5184" s="84"/>
    </row>
    <row r="5185" spans="187:190" s="2" customFormat="1" ht="18" customHeight="1" x14ac:dyDescent="0.2">
      <c r="GE5185" s="84"/>
      <c r="GF5185" s="84"/>
      <c r="GG5185" s="84"/>
      <c r="GH5185" s="84"/>
    </row>
    <row r="5186" spans="187:190" s="2" customFormat="1" ht="18" customHeight="1" x14ac:dyDescent="0.2">
      <c r="GE5186" s="84"/>
      <c r="GF5186" s="84"/>
      <c r="GG5186" s="84"/>
      <c r="GH5186" s="84"/>
    </row>
    <row r="5187" spans="187:190" s="2" customFormat="1" ht="18" customHeight="1" x14ac:dyDescent="0.2">
      <c r="GE5187" s="84"/>
      <c r="GF5187" s="84"/>
      <c r="GG5187" s="84"/>
      <c r="GH5187" s="84"/>
    </row>
    <row r="5188" spans="187:190" s="2" customFormat="1" ht="18" customHeight="1" x14ac:dyDescent="0.2">
      <c r="GE5188" s="84"/>
      <c r="GF5188" s="84"/>
      <c r="GG5188" s="84"/>
      <c r="GH5188" s="84"/>
    </row>
    <row r="5189" spans="187:190" s="2" customFormat="1" ht="18" customHeight="1" x14ac:dyDescent="0.2">
      <c r="GE5189" s="84"/>
      <c r="GF5189" s="84"/>
      <c r="GG5189" s="84"/>
      <c r="GH5189" s="84"/>
    </row>
    <row r="5190" spans="187:190" s="2" customFormat="1" ht="18" customHeight="1" x14ac:dyDescent="0.2">
      <c r="GE5190" s="84"/>
      <c r="GF5190" s="84"/>
      <c r="GG5190" s="84"/>
      <c r="GH5190" s="84"/>
    </row>
    <row r="5191" spans="187:190" s="2" customFormat="1" ht="18" customHeight="1" x14ac:dyDescent="0.2">
      <c r="GE5191" s="84"/>
      <c r="GF5191" s="84"/>
      <c r="GG5191" s="84"/>
      <c r="GH5191" s="84"/>
    </row>
    <row r="5192" spans="187:190" s="2" customFormat="1" ht="18" customHeight="1" x14ac:dyDescent="0.2">
      <c r="GE5192" s="84"/>
      <c r="GF5192" s="84"/>
      <c r="GG5192" s="84"/>
      <c r="GH5192" s="84"/>
    </row>
    <row r="5193" spans="187:190" s="2" customFormat="1" ht="18" customHeight="1" x14ac:dyDescent="0.2">
      <c r="GE5193" s="84"/>
      <c r="GF5193" s="84"/>
      <c r="GG5193" s="84"/>
      <c r="GH5193" s="84"/>
    </row>
    <row r="5194" spans="187:190" s="2" customFormat="1" ht="18" customHeight="1" x14ac:dyDescent="0.2">
      <c r="GE5194" s="84"/>
      <c r="GF5194" s="84"/>
      <c r="GG5194" s="84"/>
      <c r="GH5194" s="84"/>
    </row>
    <row r="5195" spans="187:190" s="2" customFormat="1" ht="18" customHeight="1" x14ac:dyDescent="0.2">
      <c r="GE5195" s="84"/>
      <c r="GF5195" s="84"/>
      <c r="GG5195" s="84"/>
      <c r="GH5195" s="84"/>
    </row>
    <row r="5196" spans="187:190" s="2" customFormat="1" ht="18" customHeight="1" x14ac:dyDescent="0.2">
      <c r="GE5196" s="84"/>
      <c r="GF5196" s="84"/>
      <c r="GG5196" s="84"/>
      <c r="GH5196" s="84"/>
    </row>
    <row r="5197" spans="187:190" s="2" customFormat="1" ht="18" customHeight="1" x14ac:dyDescent="0.2">
      <c r="GE5197" s="84"/>
      <c r="GF5197" s="84"/>
      <c r="GG5197" s="84"/>
      <c r="GH5197" s="84"/>
    </row>
    <row r="5198" spans="187:190" s="2" customFormat="1" ht="18" customHeight="1" x14ac:dyDescent="0.2">
      <c r="GE5198" s="84"/>
      <c r="GF5198" s="84"/>
      <c r="GG5198" s="84"/>
      <c r="GH5198" s="84"/>
    </row>
    <row r="5199" spans="187:190" s="2" customFormat="1" ht="18" customHeight="1" x14ac:dyDescent="0.2">
      <c r="GE5199" s="84"/>
      <c r="GF5199" s="84"/>
      <c r="GG5199" s="84"/>
      <c r="GH5199" s="84"/>
    </row>
    <row r="5200" spans="187:190" s="2" customFormat="1" ht="18" customHeight="1" x14ac:dyDescent="0.2">
      <c r="GE5200" s="84"/>
      <c r="GF5200" s="84"/>
      <c r="GG5200" s="84"/>
      <c r="GH5200" s="84"/>
    </row>
    <row r="5201" spans="187:190" s="2" customFormat="1" ht="18" customHeight="1" x14ac:dyDescent="0.2">
      <c r="GE5201" s="84"/>
      <c r="GF5201" s="84"/>
      <c r="GG5201" s="84"/>
      <c r="GH5201" s="84"/>
    </row>
    <row r="5202" spans="187:190" s="2" customFormat="1" ht="18" customHeight="1" x14ac:dyDescent="0.2">
      <c r="GE5202" s="84"/>
      <c r="GF5202" s="84"/>
      <c r="GG5202" s="84"/>
      <c r="GH5202" s="84"/>
    </row>
    <row r="5203" spans="187:190" s="2" customFormat="1" ht="18" customHeight="1" x14ac:dyDescent="0.2">
      <c r="GE5203" s="84"/>
      <c r="GF5203" s="84"/>
      <c r="GG5203" s="84"/>
      <c r="GH5203" s="84"/>
    </row>
    <row r="5204" spans="187:190" s="2" customFormat="1" ht="18" customHeight="1" x14ac:dyDescent="0.2">
      <c r="GE5204" s="84"/>
      <c r="GF5204" s="84"/>
      <c r="GG5204" s="84"/>
      <c r="GH5204" s="84"/>
    </row>
    <row r="5205" spans="187:190" s="2" customFormat="1" ht="18" customHeight="1" x14ac:dyDescent="0.2">
      <c r="GE5205" s="84"/>
      <c r="GF5205" s="84"/>
      <c r="GG5205" s="84"/>
      <c r="GH5205" s="84"/>
    </row>
    <row r="5206" spans="187:190" s="2" customFormat="1" ht="18" customHeight="1" x14ac:dyDescent="0.2">
      <c r="GE5206" s="84"/>
      <c r="GF5206" s="84"/>
      <c r="GG5206" s="84"/>
      <c r="GH5206" s="84"/>
    </row>
    <row r="5207" spans="187:190" s="2" customFormat="1" ht="18" customHeight="1" x14ac:dyDescent="0.2">
      <c r="GE5207" s="84"/>
      <c r="GF5207" s="84"/>
      <c r="GG5207" s="84"/>
      <c r="GH5207" s="84"/>
    </row>
    <row r="5208" spans="187:190" s="2" customFormat="1" ht="18" customHeight="1" x14ac:dyDescent="0.2">
      <c r="GE5208" s="84"/>
      <c r="GF5208" s="84"/>
      <c r="GG5208" s="84"/>
      <c r="GH5208" s="84"/>
    </row>
    <row r="5209" spans="187:190" s="2" customFormat="1" ht="18" customHeight="1" x14ac:dyDescent="0.2">
      <c r="GE5209" s="84"/>
      <c r="GF5209" s="84"/>
      <c r="GG5209" s="84"/>
      <c r="GH5209" s="84"/>
    </row>
    <row r="5210" spans="187:190" s="2" customFormat="1" ht="18" customHeight="1" x14ac:dyDescent="0.2">
      <c r="GE5210" s="84"/>
      <c r="GF5210" s="84"/>
      <c r="GG5210" s="84"/>
      <c r="GH5210" s="84"/>
    </row>
    <row r="5211" spans="187:190" s="2" customFormat="1" ht="18" customHeight="1" x14ac:dyDescent="0.2">
      <c r="GE5211" s="84"/>
      <c r="GF5211" s="84"/>
      <c r="GG5211" s="84"/>
      <c r="GH5211" s="84"/>
    </row>
    <row r="5212" spans="187:190" s="2" customFormat="1" ht="18" customHeight="1" x14ac:dyDescent="0.2">
      <c r="GE5212" s="84"/>
      <c r="GF5212" s="84"/>
      <c r="GG5212" s="84"/>
      <c r="GH5212" s="84"/>
    </row>
    <row r="5213" spans="187:190" s="2" customFormat="1" ht="18" customHeight="1" x14ac:dyDescent="0.2">
      <c r="GE5213" s="84"/>
      <c r="GF5213" s="84"/>
      <c r="GG5213" s="84"/>
      <c r="GH5213" s="84"/>
    </row>
    <row r="5214" spans="187:190" s="2" customFormat="1" ht="18" customHeight="1" x14ac:dyDescent="0.2">
      <c r="GE5214" s="84"/>
      <c r="GF5214" s="84"/>
      <c r="GG5214" s="84"/>
      <c r="GH5214" s="84"/>
    </row>
    <row r="5215" spans="187:190" s="2" customFormat="1" ht="18" customHeight="1" x14ac:dyDescent="0.2">
      <c r="GE5215" s="84"/>
      <c r="GF5215" s="84"/>
      <c r="GG5215" s="84"/>
      <c r="GH5215" s="84"/>
    </row>
    <row r="5216" spans="187:190" s="2" customFormat="1" ht="18" customHeight="1" x14ac:dyDescent="0.2">
      <c r="GE5216" s="84"/>
      <c r="GF5216" s="84"/>
      <c r="GG5216" s="84"/>
      <c r="GH5216" s="84"/>
    </row>
    <row r="5217" spans="187:190" s="2" customFormat="1" ht="18" customHeight="1" x14ac:dyDescent="0.2">
      <c r="GE5217" s="84"/>
      <c r="GF5217" s="84"/>
      <c r="GG5217" s="84"/>
      <c r="GH5217" s="84"/>
    </row>
    <row r="5218" spans="187:190" s="2" customFormat="1" ht="18" customHeight="1" x14ac:dyDescent="0.2">
      <c r="GE5218" s="84"/>
      <c r="GF5218" s="84"/>
      <c r="GG5218" s="84"/>
      <c r="GH5218" s="84"/>
    </row>
    <row r="5219" spans="187:190" s="2" customFormat="1" ht="18" customHeight="1" x14ac:dyDescent="0.2">
      <c r="GE5219" s="84"/>
      <c r="GF5219" s="84"/>
      <c r="GG5219" s="84"/>
      <c r="GH5219" s="84"/>
    </row>
    <row r="5220" spans="187:190" s="2" customFormat="1" ht="18" customHeight="1" x14ac:dyDescent="0.2">
      <c r="GE5220" s="84"/>
      <c r="GF5220" s="84"/>
      <c r="GG5220" s="84"/>
      <c r="GH5220" s="84"/>
    </row>
    <row r="5221" spans="187:190" s="2" customFormat="1" ht="18" customHeight="1" x14ac:dyDescent="0.2">
      <c r="GE5221" s="84"/>
      <c r="GF5221" s="84"/>
      <c r="GG5221" s="84"/>
      <c r="GH5221" s="84"/>
    </row>
    <row r="5222" spans="187:190" s="2" customFormat="1" ht="18" customHeight="1" x14ac:dyDescent="0.2">
      <c r="GE5222" s="84"/>
      <c r="GF5222" s="84"/>
      <c r="GG5222" s="84"/>
      <c r="GH5222" s="84"/>
    </row>
    <row r="5223" spans="187:190" s="2" customFormat="1" ht="18" customHeight="1" x14ac:dyDescent="0.2">
      <c r="GE5223" s="84"/>
      <c r="GF5223" s="84"/>
      <c r="GG5223" s="84"/>
      <c r="GH5223" s="84"/>
    </row>
    <row r="5224" spans="187:190" s="2" customFormat="1" ht="18" customHeight="1" x14ac:dyDescent="0.2">
      <c r="GE5224" s="84"/>
      <c r="GF5224" s="84"/>
      <c r="GG5224" s="84"/>
      <c r="GH5224" s="84"/>
    </row>
    <row r="5225" spans="187:190" s="2" customFormat="1" ht="18" customHeight="1" x14ac:dyDescent="0.2">
      <c r="GE5225" s="84"/>
      <c r="GF5225" s="84"/>
      <c r="GG5225" s="84"/>
      <c r="GH5225" s="84"/>
    </row>
    <row r="5226" spans="187:190" s="2" customFormat="1" ht="18" customHeight="1" x14ac:dyDescent="0.2">
      <c r="GE5226" s="84"/>
      <c r="GF5226" s="84"/>
      <c r="GG5226" s="84"/>
      <c r="GH5226" s="84"/>
    </row>
    <row r="5227" spans="187:190" s="2" customFormat="1" ht="18" customHeight="1" x14ac:dyDescent="0.2">
      <c r="GE5227" s="84"/>
      <c r="GF5227" s="84"/>
      <c r="GG5227" s="84"/>
      <c r="GH5227" s="84"/>
    </row>
    <row r="5228" spans="187:190" s="2" customFormat="1" ht="18" customHeight="1" x14ac:dyDescent="0.2">
      <c r="GE5228" s="84"/>
      <c r="GF5228" s="84"/>
      <c r="GG5228" s="84"/>
      <c r="GH5228" s="84"/>
    </row>
    <row r="5229" spans="187:190" s="2" customFormat="1" ht="18" customHeight="1" x14ac:dyDescent="0.2">
      <c r="GE5229" s="84"/>
      <c r="GF5229" s="84"/>
      <c r="GG5229" s="84"/>
      <c r="GH5229" s="84"/>
    </row>
    <row r="5230" spans="187:190" s="2" customFormat="1" ht="18" customHeight="1" x14ac:dyDescent="0.2">
      <c r="GE5230" s="84"/>
      <c r="GF5230" s="84"/>
      <c r="GG5230" s="84"/>
      <c r="GH5230" s="84"/>
    </row>
    <row r="5231" spans="187:190" s="2" customFormat="1" ht="18" customHeight="1" x14ac:dyDescent="0.2">
      <c r="GE5231" s="84"/>
      <c r="GF5231" s="84"/>
      <c r="GG5231" s="84"/>
      <c r="GH5231" s="84"/>
    </row>
    <row r="5232" spans="187:190" s="2" customFormat="1" ht="18" customHeight="1" x14ac:dyDescent="0.2">
      <c r="GE5232" s="84"/>
      <c r="GF5232" s="84"/>
      <c r="GG5232" s="84"/>
      <c r="GH5232" s="84"/>
    </row>
    <row r="5233" spans="187:190" s="2" customFormat="1" ht="18" customHeight="1" x14ac:dyDescent="0.2">
      <c r="GE5233" s="84"/>
      <c r="GF5233" s="84"/>
      <c r="GG5233" s="84"/>
      <c r="GH5233" s="84"/>
    </row>
    <row r="5234" spans="187:190" s="2" customFormat="1" ht="18" customHeight="1" x14ac:dyDescent="0.2">
      <c r="GE5234" s="84"/>
      <c r="GF5234" s="84"/>
      <c r="GG5234" s="84"/>
      <c r="GH5234" s="84"/>
    </row>
    <row r="5235" spans="187:190" s="2" customFormat="1" ht="18" customHeight="1" x14ac:dyDescent="0.2">
      <c r="GE5235" s="84"/>
      <c r="GF5235" s="84"/>
      <c r="GG5235" s="84"/>
      <c r="GH5235" s="84"/>
    </row>
    <row r="5236" spans="187:190" s="2" customFormat="1" ht="18" customHeight="1" x14ac:dyDescent="0.2">
      <c r="GE5236" s="84"/>
      <c r="GF5236" s="84"/>
      <c r="GG5236" s="84"/>
      <c r="GH5236" s="84"/>
    </row>
    <row r="5237" spans="187:190" s="2" customFormat="1" ht="18" customHeight="1" x14ac:dyDescent="0.2">
      <c r="GE5237" s="84"/>
      <c r="GF5237" s="84"/>
      <c r="GG5237" s="84"/>
      <c r="GH5237" s="84"/>
    </row>
    <row r="5238" spans="187:190" s="2" customFormat="1" ht="18" customHeight="1" x14ac:dyDescent="0.2">
      <c r="GE5238" s="84"/>
      <c r="GF5238" s="84"/>
      <c r="GG5238" s="84"/>
      <c r="GH5238" s="84"/>
    </row>
    <row r="5239" spans="187:190" s="2" customFormat="1" ht="18" customHeight="1" x14ac:dyDescent="0.2">
      <c r="GE5239" s="84"/>
      <c r="GF5239" s="84"/>
      <c r="GG5239" s="84"/>
      <c r="GH5239" s="84"/>
    </row>
    <row r="5240" spans="187:190" s="2" customFormat="1" ht="18" customHeight="1" x14ac:dyDescent="0.2">
      <c r="GE5240" s="84"/>
      <c r="GF5240" s="84"/>
      <c r="GG5240" s="84"/>
      <c r="GH5240" s="84"/>
    </row>
    <row r="5241" spans="187:190" s="2" customFormat="1" ht="18" customHeight="1" x14ac:dyDescent="0.2">
      <c r="GE5241" s="84"/>
      <c r="GF5241" s="84"/>
      <c r="GG5241" s="84"/>
      <c r="GH5241" s="84"/>
    </row>
    <row r="5242" spans="187:190" s="2" customFormat="1" ht="18" customHeight="1" x14ac:dyDescent="0.2">
      <c r="GE5242" s="84"/>
      <c r="GF5242" s="84"/>
      <c r="GG5242" s="84"/>
      <c r="GH5242" s="84"/>
    </row>
    <row r="5243" spans="187:190" s="2" customFormat="1" ht="18" customHeight="1" x14ac:dyDescent="0.2">
      <c r="GE5243" s="84"/>
      <c r="GF5243" s="84"/>
      <c r="GG5243" s="84"/>
      <c r="GH5243" s="84"/>
    </row>
    <row r="5244" spans="187:190" s="2" customFormat="1" ht="18" customHeight="1" x14ac:dyDescent="0.2">
      <c r="GE5244" s="84"/>
      <c r="GF5244" s="84"/>
      <c r="GG5244" s="84"/>
      <c r="GH5244" s="84"/>
    </row>
    <row r="5245" spans="187:190" s="2" customFormat="1" ht="18" customHeight="1" x14ac:dyDescent="0.2">
      <c r="GE5245" s="84"/>
      <c r="GF5245" s="84"/>
      <c r="GG5245" s="84"/>
      <c r="GH5245" s="84"/>
    </row>
    <row r="5246" spans="187:190" s="2" customFormat="1" ht="18" customHeight="1" x14ac:dyDescent="0.2">
      <c r="GE5246" s="84"/>
      <c r="GF5246" s="84"/>
      <c r="GG5246" s="84"/>
      <c r="GH5246" s="84"/>
    </row>
    <row r="5247" spans="187:190" s="2" customFormat="1" ht="18" customHeight="1" x14ac:dyDescent="0.2">
      <c r="GE5247" s="84"/>
      <c r="GF5247" s="84"/>
      <c r="GG5247" s="84"/>
      <c r="GH5247" s="84"/>
    </row>
    <row r="5248" spans="187:190" s="2" customFormat="1" ht="18" customHeight="1" x14ac:dyDescent="0.2">
      <c r="GE5248" s="84"/>
      <c r="GF5248" s="84"/>
      <c r="GG5248" s="84"/>
      <c r="GH5248" s="84"/>
    </row>
    <row r="5249" spans="187:190" s="2" customFormat="1" ht="18" customHeight="1" x14ac:dyDescent="0.2">
      <c r="GE5249" s="84"/>
      <c r="GF5249" s="84"/>
      <c r="GG5249" s="84"/>
      <c r="GH5249" s="84"/>
    </row>
    <row r="5250" spans="187:190" s="2" customFormat="1" ht="18" customHeight="1" x14ac:dyDescent="0.2">
      <c r="GE5250" s="84"/>
      <c r="GF5250" s="84"/>
      <c r="GG5250" s="84"/>
      <c r="GH5250" s="84"/>
    </row>
    <row r="5251" spans="187:190" s="2" customFormat="1" ht="18" customHeight="1" x14ac:dyDescent="0.2">
      <c r="GE5251" s="84"/>
      <c r="GF5251" s="84"/>
      <c r="GG5251" s="84"/>
      <c r="GH5251" s="84"/>
    </row>
    <row r="5252" spans="187:190" s="2" customFormat="1" ht="18" customHeight="1" x14ac:dyDescent="0.2">
      <c r="GE5252" s="84"/>
      <c r="GF5252" s="84"/>
      <c r="GG5252" s="84"/>
      <c r="GH5252" s="84"/>
    </row>
    <row r="5253" spans="187:190" s="2" customFormat="1" ht="18" customHeight="1" x14ac:dyDescent="0.2">
      <c r="GE5253" s="84"/>
      <c r="GF5253" s="84"/>
      <c r="GG5253" s="84"/>
      <c r="GH5253" s="84"/>
    </row>
    <row r="5254" spans="187:190" s="2" customFormat="1" ht="18" customHeight="1" x14ac:dyDescent="0.2">
      <c r="GE5254" s="84"/>
      <c r="GF5254" s="84"/>
      <c r="GG5254" s="84"/>
      <c r="GH5254" s="84"/>
    </row>
    <row r="5255" spans="187:190" s="2" customFormat="1" ht="18" customHeight="1" x14ac:dyDescent="0.2">
      <c r="GE5255" s="84"/>
      <c r="GF5255" s="84"/>
      <c r="GG5255" s="84"/>
      <c r="GH5255" s="84"/>
    </row>
    <row r="5256" spans="187:190" s="2" customFormat="1" ht="18" customHeight="1" x14ac:dyDescent="0.2">
      <c r="GE5256" s="84"/>
      <c r="GF5256" s="84"/>
      <c r="GG5256" s="84"/>
      <c r="GH5256" s="84"/>
    </row>
    <row r="5257" spans="187:190" s="2" customFormat="1" ht="18" customHeight="1" x14ac:dyDescent="0.2">
      <c r="GE5257" s="84"/>
      <c r="GF5257" s="84"/>
      <c r="GG5257" s="84"/>
      <c r="GH5257" s="84"/>
    </row>
    <row r="5258" spans="187:190" s="2" customFormat="1" ht="18" customHeight="1" x14ac:dyDescent="0.2">
      <c r="GE5258" s="84"/>
      <c r="GF5258" s="84"/>
      <c r="GG5258" s="84"/>
      <c r="GH5258" s="84"/>
    </row>
    <row r="5259" spans="187:190" s="2" customFormat="1" ht="18" customHeight="1" x14ac:dyDescent="0.2">
      <c r="GE5259" s="84"/>
      <c r="GF5259" s="84"/>
      <c r="GG5259" s="84"/>
      <c r="GH5259" s="84"/>
    </row>
    <row r="5260" spans="187:190" s="2" customFormat="1" ht="18" customHeight="1" x14ac:dyDescent="0.2">
      <c r="GE5260" s="84"/>
      <c r="GF5260" s="84"/>
      <c r="GG5260" s="84"/>
      <c r="GH5260" s="84"/>
    </row>
    <row r="5261" spans="187:190" s="2" customFormat="1" ht="18" customHeight="1" x14ac:dyDescent="0.2">
      <c r="GE5261" s="84"/>
      <c r="GF5261" s="84"/>
      <c r="GG5261" s="84"/>
      <c r="GH5261" s="84"/>
    </row>
    <row r="5262" spans="187:190" s="2" customFormat="1" ht="18" customHeight="1" x14ac:dyDescent="0.2">
      <c r="GE5262" s="84"/>
      <c r="GF5262" s="84"/>
      <c r="GG5262" s="84"/>
      <c r="GH5262" s="84"/>
    </row>
    <row r="5263" spans="187:190" s="2" customFormat="1" ht="18" customHeight="1" x14ac:dyDescent="0.2">
      <c r="GE5263" s="84"/>
      <c r="GF5263" s="84"/>
      <c r="GG5263" s="84"/>
      <c r="GH5263" s="84"/>
    </row>
    <row r="5264" spans="187:190" s="2" customFormat="1" ht="18" customHeight="1" x14ac:dyDescent="0.2">
      <c r="GE5264" s="84"/>
      <c r="GF5264" s="84"/>
      <c r="GG5264" s="84"/>
      <c r="GH5264" s="84"/>
    </row>
    <row r="5265" spans="187:190" s="2" customFormat="1" ht="18" customHeight="1" x14ac:dyDescent="0.2">
      <c r="GE5265" s="84"/>
      <c r="GF5265" s="84"/>
      <c r="GG5265" s="84"/>
      <c r="GH5265" s="84"/>
    </row>
    <row r="5266" spans="187:190" s="2" customFormat="1" ht="18" customHeight="1" x14ac:dyDescent="0.2">
      <c r="GE5266" s="84"/>
      <c r="GF5266" s="84"/>
      <c r="GG5266" s="84"/>
      <c r="GH5266" s="84"/>
    </row>
    <row r="5267" spans="187:190" s="2" customFormat="1" ht="18" customHeight="1" x14ac:dyDescent="0.2">
      <c r="GE5267" s="84"/>
      <c r="GF5267" s="84"/>
      <c r="GG5267" s="84"/>
      <c r="GH5267" s="84"/>
    </row>
    <row r="5268" spans="187:190" s="2" customFormat="1" ht="18" customHeight="1" x14ac:dyDescent="0.2">
      <c r="GE5268" s="84"/>
      <c r="GF5268" s="84"/>
      <c r="GG5268" s="84"/>
      <c r="GH5268" s="84"/>
    </row>
    <row r="5269" spans="187:190" s="2" customFormat="1" ht="18" customHeight="1" x14ac:dyDescent="0.2">
      <c r="GE5269" s="84"/>
      <c r="GF5269" s="84"/>
      <c r="GG5269" s="84"/>
      <c r="GH5269" s="84"/>
    </row>
    <row r="5270" spans="187:190" s="2" customFormat="1" ht="18" customHeight="1" x14ac:dyDescent="0.2">
      <c r="GE5270" s="84"/>
      <c r="GF5270" s="84"/>
      <c r="GG5270" s="84"/>
      <c r="GH5270" s="84"/>
    </row>
    <row r="5271" spans="187:190" s="2" customFormat="1" ht="18" customHeight="1" x14ac:dyDescent="0.2">
      <c r="GE5271" s="84"/>
      <c r="GF5271" s="84"/>
      <c r="GG5271" s="84"/>
      <c r="GH5271" s="84"/>
    </row>
    <row r="5272" spans="187:190" s="2" customFormat="1" ht="18" customHeight="1" x14ac:dyDescent="0.2">
      <c r="GE5272" s="84"/>
      <c r="GF5272" s="84"/>
      <c r="GG5272" s="84"/>
      <c r="GH5272" s="84"/>
    </row>
    <row r="5273" spans="187:190" s="2" customFormat="1" ht="18" customHeight="1" x14ac:dyDescent="0.2">
      <c r="GE5273" s="84"/>
      <c r="GF5273" s="84"/>
      <c r="GG5273" s="84"/>
      <c r="GH5273" s="84"/>
    </row>
    <row r="5274" spans="187:190" s="2" customFormat="1" ht="18" customHeight="1" x14ac:dyDescent="0.2">
      <c r="GE5274" s="84"/>
      <c r="GF5274" s="84"/>
      <c r="GG5274" s="84"/>
      <c r="GH5274" s="84"/>
    </row>
    <row r="5275" spans="187:190" s="2" customFormat="1" ht="18" customHeight="1" x14ac:dyDescent="0.2">
      <c r="GE5275" s="84"/>
      <c r="GF5275" s="84"/>
      <c r="GG5275" s="84"/>
      <c r="GH5275" s="84"/>
    </row>
    <row r="5276" spans="187:190" s="2" customFormat="1" ht="18" customHeight="1" x14ac:dyDescent="0.2">
      <c r="GE5276" s="84"/>
      <c r="GF5276" s="84"/>
      <c r="GG5276" s="84"/>
      <c r="GH5276" s="84"/>
    </row>
    <row r="5277" spans="187:190" s="2" customFormat="1" ht="18" customHeight="1" x14ac:dyDescent="0.2">
      <c r="GE5277" s="84"/>
      <c r="GF5277" s="84"/>
      <c r="GG5277" s="84"/>
      <c r="GH5277" s="84"/>
    </row>
    <row r="5278" spans="187:190" s="2" customFormat="1" ht="18" customHeight="1" x14ac:dyDescent="0.2">
      <c r="GE5278" s="84"/>
      <c r="GF5278" s="84"/>
      <c r="GG5278" s="84"/>
      <c r="GH5278" s="84"/>
    </row>
    <row r="5279" spans="187:190" s="2" customFormat="1" ht="18" customHeight="1" x14ac:dyDescent="0.2">
      <c r="GE5279" s="84"/>
      <c r="GF5279" s="84"/>
      <c r="GG5279" s="84"/>
      <c r="GH5279" s="84"/>
    </row>
    <row r="5280" spans="187:190" s="2" customFormat="1" ht="18" customHeight="1" x14ac:dyDescent="0.2">
      <c r="GE5280" s="84"/>
      <c r="GF5280" s="84"/>
      <c r="GG5280" s="84"/>
      <c r="GH5280" s="84"/>
    </row>
    <row r="5281" spans="187:190" s="2" customFormat="1" ht="18" customHeight="1" x14ac:dyDescent="0.2">
      <c r="GE5281" s="84"/>
      <c r="GF5281" s="84"/>
      <c r="GG5281" s="84"/>
      <c r="GH5281" s="84"/>
    </row>
    <row r="5282" spans="187:190" s="2" customFormat="1" ht="18" customHeight="1" x14ac:dyDescent="0.2">
      <c r="GE5282" s="84"/>
      <c r="GF5282" s="84"/>
      <c r="GG5282" s="84"/>
      <c r="GH5282" s="84"/>
    </row>
    <row r="5283" spans="187:190" s="2" customFormat="1" ht="18" customHeight="1" x14ac:dyDescent="0.2">
      <c r="GE5283" s="84"/>
      <c r="GF5283" s="84"/>
      <c r="GG5283" s="84"/>
      <c r="GH5283" s="84"/>
    </row>
    <row r="5284" spans="187:190" s="2" customFormat="1" ht="18" customHeight="1" x14ac:dyDescent="0.2">
      <c r="GE5284" s="84"/>
      <c r="GF5284" s="84"/>
      <c r="GG5284" s="84"/>
      <c r="GH5284" s="84"/>
    </row>
    <row r="5285" spans="187:190" s="2" customFormat="1" ht="18" customHeight="1" x14ac:dyDescent="0.2">
      <c r="GE5285" s="84"/>
      <c r="GF5285" s="84"/>
      <c r="GG5285" s="84"/>
      <c r="GH5285" s="84"/>
    </row>
    <row r="5286" spans="187:190" s="2" customFormat="1" ht="18" customHeight="1" x14ac:dyDescent="0.2">
      <c r="GE5286" s="84"/>
      <c r="GF5286" s="84"/>
      <c r="GG5286" s="84"/>
      <c r="GH5286" s="84"/>
    </row>
    <row r="5287" spans="187:190" s="2" customFormat="1" ht="18" customHeight="1" x14ac:dyDescent="0.2">
      <c r="GE5287" s="84"/>
      <c r="GF5287" s="84"/>
      <c r="GG5287" s="84"/>
      <c r="GH5287" s="84"/>
    </row>
    <row r="5288" spans="187:190" s="2" customFormat="1" ht="18" customHeight="1" x14ac:dyDescent="0.2">
      <c r="GE5288" s="84"/>
      <c r="GF5288" s="84"/>
      <c r="GG5288" s="84"/>
      <c r="GH5288" s="84"/>
    </row>
    <row r="5289" spans="187:190" s="2" customFormat="1" ht="18" customHeight="1" x14ac:dyDescent="0.2">
      <c r="GE5289" s="84"/>
      <c r="GF5289" s="84"/>
      <c r="GG5289" s="84"/>
      <c r="GH5289" s="84"/>
    </row>
    <row r="5290" spans="187:190" s="2" customFormat="1" ht="18" customHeight="1" x14ac:dyDescent="0.2">
      <c r="GE5290" s="84"/>
      <c r="GF5290" s="84"/>
      <c r="GG5290" s="84"/>
      <c r="GH5290" s="84"/>
    </row>
    <row r="5291" spans="187:190" s="2" customFormat="1" ht="18" customHeight="1" x14ac:dyDescent="0.2">
      <c r="GE5291" s="84"/>
      <c r="GF5291" s="84"/>
      <c r="GG5291" s="84"/>
      <c r="GH5291" s="84"/>
    </row>
    <row r="5292" spans="187:190" s="2" customFormat="1" ht="18" customHeight="1" x14ac:dyDescent="0.2">
      <c r="GE5292" s="84"/>
      <c r="GF5292" s="84"/>
      <c r="GG5292" s="84"/>
      <c r="GH5292" s="84"/>
    </row>
    <row r="5293" spans="187:190" s="2" customFormat="1" ht="18" customHeight="1" x14ac:dyDescent="0.2">
      <c r="GE5293" s="84"/>
      <c r="GF5293" s="84"/>
      <c r="GG5293" s="84"/>
      <c r="GH5293" s="84"/>
    </row>
    <row r="5294" spans="187:190" s="2" customFormat="1" ht="18" customHeight="1" x14ac:dyDescent="0.2">
      <c r="GE5294" s="84"/>
      <c r="GF5294" s="84"/>
      <c r="GG5294" s="84"/>
      <c r="GH5294" s="84"/>
    </row>
    <row r="5295" spans="187:190" s="2" customFormat="1" ht="18" customHeight="1" x14ac:dyDescent="0.2">
      <c r="GE5295" s="84"/>
      <c r="GF5295" s="84"/>
      <c r="GG5295" s="84"/>
      <c r="GH5295" s="84"/>
    </row>
    <row r="5296" spans="187:190" s="2" customFormat="1" ht="18" customHeight="1" x14ac:dyDescent="0.2">
      <c r="GE5296" s="84"/>
      <c r="GF5296" s="84"/>
      <c r="GG5296" s="84"/>
      <c r="GH5296" s="84"/>
    </row>
    <row r="5297" spans="187:190" s="2" customFormat="1" ht="18" customHeight="1" x14ac:dyDescent="0.2">
      <c r="GE5297" s="84"/>
      <c r="GF5297" s="84"/>
      <c r="GG5297" s="84"/>
      <c r="GH5297" s="84"/>
    </row>
    <row r="5298" spans="187:190" s="2" customFormat="1" ht="18" customHeight="1" x14ac:dyDescent="0.2">
      <c r="GE5298" s="84"/>
      <c r="GF5298" s="84"/>
      <c r="GG5298" s="84"/>
      <c r="GH5298" s="84"/>
    </row>
    <row r="5299" spans="187:190" s="2" customFormat="1" ht="18" customHeight="1" x14ac:dyDescent="0.2">
      <c r="GE5299" s="84"/>
      <c r="GF5299" s="84"/>
      <c r="GG5299" s="84"/>
      <c r="GH5299" s="84"/>
    </row>
    <row r="5300" spans="187:190" s="2" customFormat="1" ht="18" customHeight="1" x14ac:dyDescent="0.2">
      <c r="GE5300" s="84"/>
      <c r="GF5300" s="84"/>
      <c r="GG5300" s="84"/>
      <c r="GH5300" s="84"/>
    </row>
    <row r="5301" spans="187:190" s="2" customFormat="1" ht="18" customHeight="1" x14ac:dyDescent="0.2">
      <c r="GE5301" s="84"/>
      <c r="GF5301" s="84"/>
      <c r="GG5301" s="84"/>
      <c r="GH5301" s="84"/>
    </row>
    <row r="5302" spans="187:190" s="2" customFormat="1" ht="18" customHeight="1" x14ac:dyDescent="0.2">
      <c r="GE5302" s="84"/>
      <c r="GF5302" s="84"/>
      <c r="GG5302" s="84"/>
      <c r="GH5302" s="84"/>
    </row>
    <row r="5303" spans="187:190" s="2" customFormat="1" ht="18" customHeight="1" x14ac:dyDescent="0.2">
      <c r="GE5303" s="84"/>
      <c r="GF5303" s="84"/>
      <c r="GG5303" s="84"/>
      <c r="GH5303" s="84"/>
    </row>
    <row r="5304" spans="187:190" s="2" customFormat="1" ht="18" customHeight="1" x14ac:dyDescent="0.2">
      <c r="GE5304" s="84"/>
      <c r="GF5304" s="84"/>
      <c r="GG5304" s="84"/>
      <c r="GH5304" s="84"/>
    </row>
    <row r="5305" spans="187:190" s="2" customFormat="1" ht="18" customHeight="1" x14ac:dyDescent="0.2">
      <c r="GE5305" s="84"/>
      <c r="GF5305" s="84"/>
      <c r="GG5305" s="84"/>
      <c r="GH5305" s="84"/>
    </row>
    <row r="5306" spans="187:190" s="2" customFormat="1" ht="18" customHeight="1" x14ac:dyDescent="0.2">
      <c r="GE5306" s="84"/>
      <c r="GF5306" s="84"/>
      <c r="GG5306" s="84"/>
      <c r="GH5306" s="84"/>
    </row>
    <row r="5307" spans="187:190" s="2" customFormat="1" ht="18" customHeight="1" x14ac:dyDescent="0.2">
      <c r="GE5307" s="84"/>
      <c r="GF5307" s="84"/>
      <c r="GG5307" s="84"/>
      <c r="GH5307" s="84"/>
    </row>
    <row r="5308" spans="187:190" s="2" customFormat="1" ht="18" customHeight="1" x14ac:dyDescent="0.2">
      <c r="GE5308" s="84"/>
      <c r="GF5308" s="84"/>
      <c r="GG5308" s="84"/>
      <c r="GH5308" s="84"/>
    </row>
    <row r="5309" spans="187:190" s="2" customFormat="1" ht="18" customHeight="1" x14ac:dyDescent="0.2">
      <c r="GE5309" s="84"/>
      <c r="GF5309" s="84"/>
      <c r="GG5309" s="84"/>
      <c r="GH5309" s="84"/>
    </row>
    <row r="5310" spans="187:190" s="2" customFormat="1" ht="18" customHeight="1" x14ac:dyDescent="0.2">
      <c r="GE5310" s="84"/>
      <c r="GF5310" s="84"/>
      <c r="GG5310" s="84"/>
      <c r="GH5310" s="84"/>
    </row>
    <row r="5311" spans="187:190" s="2" customFormat="1" ht="18" customHeight="1" x14ac:dyDescent="0.2">
      <c r="GE5311" s="84"/>
      <c r="GF5311" s="84"/>
      <c r="GG5311" s="84"/>
      <c r="GH5311" s="84"/>
    </row>
    <row r="5312" spans="187:190" s="2" customFormat="1" ht="18" customHeight="1" x14ac:dyDescent="0.2">
      <c r="GE5312" s="84"/>
      <c r="GF5312" s="84"/>
      <c r="GG5312" s="84"/>
      <c r="GH5312" s="84"/>
    </row>
    <row r="5313" spans="187:190" s="2" customFormat="1" ht="18" customHeight="1" x14ac:dyDescent="0.2">
      <c r="GE5313" s="84"/>
      <c r="GF5313" s="84"/>
      <c r="GG5313" s="84"/>
      <c r="GH5313" s="84"/>
    </row>
    <row r="5314" spans="187:190" s="2" customFormat="1" ht="18" customHeight="1" x14ac:dyDescent="0.2">
      <c r="GE5314" s="84"/>
      <c r="GF5314" s="84"/>
      <c r="GG5314" s="84"/>
      <c r="GH5314" s="84"/>
    </row>
    <row r="5315" spans="187:190" s="2" customFormat="1" ht="18" customHeight="1" x14ac:dyDescent="0.2">
      <c r="GE5315" s="84"/>
      <c r="GF5315" s="84"/>
      <c r="GG5315" s="84"/>
      <c r="GH5315" s="84"/>
    </row>
    <row r="5316" spans="187:190" s="2" customFormat="1" ht="18" customHeight="1" x14ac:dyDescent="0.2">
      <c r="GE5316" s="84"/>
      <c r="GF5316" s="84"/>
      <c r="GG5316" s="84"/>
      <c r="GH5316" s="84"/>
    </row>
    <row r="5317" spans="187:190" s="2" customFormat="1" ht="18" customHeight="1" x14ac:dyDescent="0.2">
      <c r="GE5317" s="84"/>
      <c r="GF5317" s="84"/>
      <c r="GG5317" s="84"/>
      <c r="GH5317" s="84"/>
    </row>
    <row r="5318" spans="187:190" s="2" customFormat="1" ht="18" customHeight="1" x14ac:dyDescent="0.2">
      <c r="GE5318" s="84"/>
      <c r="GF5318" s="84"/>
      <c r="GG5318" s="84"/>
      <c r="GH5318" s="84"/>
    </row>
    <row r="5319" spans="187:190" s="2" customFormat="1" ht="18" customHeight="1" x14ac:dyDescent="0.2">
      <c r="GE5319" s="84"/>
      <c r="GF5319" s="84"/>
      <c r="GG5319" s="84"/>
      <c r="GH5319" s="84"/>
    </row>
    <row r="5320" spans="187:190" s="2" customFormat="1" ht="18" customHeight="1" x14ac:dyDescent="0.2">
      <c r="GE5320" s="84"/>
      <c r="GF5320" s="84"/>
      <c r="GG5320" s="84"/>
      <c r="GH5320" s="84"/>
    </row>
    <row r="5321" spans="187:190" s="2" customFormat="1" ht="18" customHeight="1" x14ac:dyDescent="0.2">
      <c r="GE5321" s="84"/>
      <c r="GF5321" s="84"/>
      <c r="GG5321" s="84"/>
      <c r="GH5321" s="84"/>
    </row>
    <row r="5322" spans="187:190" s="2" customFormat="1" ht="18" customHeight="1" x14ac:dyDescent="0.2">
      <c r="GE5322" s="84"/>
      <c r="GF5322" s="84"/>
      <c r="GG5322" s="84"/>
      <c r="GH5322" s="84"/>
    </row>
    <row r="5323" spans="187:190" s="2" customFormat="1" ht="18" customHeight="1" x14ac:dyDescent="0.2">
      <c r="GE5323" s="84"/>
      <c r="GF5323" s="84"/>
      <c r="GG5323" s="84"/>
      <c r="GH5323" s="84"/>
    </row>
    <row r="5324" spans="187:190" s="2" customFormat="1" ht="18" customHeight="1" x14ac:dyDescent="0.2">
      <c r="GE5324" s="84"/>
      <c r="GF5324" s="84"/>
      <c r="GG5324" s="84"/>
      <c r="GH5324" s="84"/>
    </row>
    <row r="5325" spans="187:190" s="2" customFormat="1" ht="18" customHeight="1" x14ac:dyDescent="0.2">
      <c r="GE5325" s="84"/>
      <c r="GF5325" s="84"/>
      <c r="GG5325" s="84"/>
      <c r="GH5325" s="84"/>
    </row>
    <row r="5326" spans="187:190" s="2" customFormat="1" ht="18" customHeight="1" x14ac:dyDescent="0.2">
      <c r="GE5326" s="84"/>
      <c r="GF5326" s="84"/>
      <c r="GG5326" s="84"/>
      <c r="GH5326" s="84"/>
    </row>
    <row r="5327" spans="187:190" s="2" customFormat="1" ht="18" customHeight="1" x14ac:dyDescent="0.2">
      <c r="GE5327" s="84"/>
      <c r="GF5327" s="84"/>
      <c r="GG5327" s="84"/>
      <c r="GH5327" s="84"/>
    </row>
    <row r="5328" spans="187:190" s="2" customFormat="1" ht="18" customHeight="1" x14ac:dyDescent="0.2">
      <c r="GE5328" s="84"/>
      <c r="GF5328" s="84"/>
      <c r="GG5328" s="84"/>
      <c r="GH5328" s="84"/>
    </row>
    <row r="5329" spans="187:190" s="2" customFormat="1" ht="18" customHeight="1" x14ac:dyDescent="0.2">
      <c r="GE5329" s="84"/>
      <c r="GF5329" s="84"/>
      <c r="GG5329" s="84"/>
      <c r="GH5329" s="84"/>
    </row>
    <row r="5330" spans="187:190" s="2" customFormat="1" ht="18" customHeight="1" x14ac:dyDescent="0.2">
      <c r="GE5330" s="84"/>
      <c r="GF5330" s="84"/>
      <c r="GG5330" s="84"/>
      <c r="GH5330" s="84"/>
    </row>
    <row r="5331" spans="187:190" s="2" customFormat="1" ht="18" customHeight="1" x14ac:dyDescent="0.2">
      <c r="GE5331" s="84"/>
      <c r="GF5331" s="84"/>
      <c r="GG5331" s="84"/>
      <c r="GH5331" s="84"/>
    </row>
    <row r="5332" spans="187:190" s="2" customFormat="1" ht="18" customHeight="1" x14ac:dyDescent="0.2">
      <c r="GE5332" s="84"/>
      <c r="GF5332" s="84"/>
      <c r="GG5332" s="84"/>
      <c r="GH5332" s="84"/>
    </row>
    <row r="5333" spans="187:190" s="2" customFormat="1" ht="18" customHeight="1" x14ac:dyDescent="0.2">
      <c r="GE5333" s="84"/>
      <c r="GF5333" s="84"/>
      <c r="GG5333" s="84"/>
      <c r="GH5333" s="84"/>
    </row>
    <row r="5334" spans="187:190" s="2" customFormat="1" ht="18" customHeight="1" x14ac:dyDescent="0.2">
      <c r="GE5334" s="84"/>
      <c r="GF5334" s="84"/>
      <c r="GG5334" s="84"/>
      <c r="GH5334" s="84"/>
    </row>
    <row r="5335" spans="187:190" s="2" customFormat="1" ht="18" customHeight="1" x14ac:dyDescent="0.2">
      <c r="GE5335" s="84"/>
      <c r="GF5335" s="84"/>
      <c r="GG5335" s="84"/>
      <c r="GH5335" s="84"/>
    </row>
    <row r="5336" spans="187:190" s="2" customFormat="1" ht="18" customHeight="1" x14ac:dyDescent="0.2">
      <c r="GE5336" s="84"/>
      <c r="GF5336" s="84"/>
      <c r="GG5336" s="84"/>
      <c r="GH5336" s="84"/>
    </row>
    <row r="5337" spans="187:190" s="2" customFormat="1" ht="18" customHeight="1" x14ac:dyDescent="0.2">
      <c r="GE5337" s="84"/>
      <c r="GF5337" s="84"/>
      <c r="GG5337" s="84"/>
      <c r="GH5337" s="84"/>
    </row>
    <row r="5338" spans="187:190" s="2" customFormat="1" ht="18" customHeight="1" x14ac:dyDescent="0.2">
      <c r="GE5338" s="84"/>
      <c r="GF5338" s="84"/>
      <c r="GG5338" s="84"/>
      <c r="GH5338" s="84"/>
    </row>
    <row r="5339" spans="187:190" s="2" customFormat="1" ht="18" customHeight="1" x14ac:dyDescent="0.2">
      <c r="GE5339" s="84"/>
      <c r="GF5339" s="84"/>
      <c r="GG5339" s="84"/>
      <c r="GH5339" s="84"/>
    </row>
    <row r="5340" spans="187:190" s="2" customFormat="1" ht="18" customHeight="1" x14ac:dyDescent="0.2">
      <c r="GE5340" s="84"/>
      <c r="GF5340" s="84"/>
      <c r="GG5340" s="84"/>
      <c r="GH5340" s="84"/>
    </row>
    <row r="5341" spans="187:190" s="2" customFormat="1" ht="18" customHeight="1" x14ac:dyDescent="0.2">
      <c r="GE5341" s="84"/>
      <c r="GF5341" s="84"/>
      <c r="GG5341" s="84"/>
      <c r="GH5341" s="84"/>
    </row>
    <row r="5342" spans="187:190" s="2" customFormat="1" ht="18" customHeight="1" x14ac:dyDescent="0.2">
      <c r="GE5342" s="84"/>
      <c r="GF5342" s="84"/>
      <c r="GG5342" s="84"/>
      <c r="GH5342" s="84"/>
    </row>
    <row r="5343" spans="187:190" s="2" customFormat="1" ht="18" customHeight="1" x14ac:dyDescent="0.2">
      <c r="GE5343" s="84"/>
      <c r="GF5343" s="84"/>
      <c r="GG5343" s="84"/>
      <c r="GH5343" s="84"/>
    </row>
    <row r="5344" spans="187:190" s="2" customFormat="1" ht="18" customHeight="1" x14ac:dyDescent="0.2">
      <c r="GE5344" s="84"/>
      <c r="GF5344" s="84"/>
      <c r="GG5344" s="84"/>
      <c r="GH5344" s="84"/>
    </row>
    <row r="5345" spans="187:190" s="2" customFormat="1" ht="18" customHeight="1" x14ac:dyDescent="0.2">
      <c r="GE5345" s="84"/>
      <c r="GF5345" s="84"/>
      <c r="GG5345" s="84"/>
      <c r="GH5345" s="84"/>
    </row>
    <row r="5346" spans="187:190" s="2" customFormat="1" ht="18" customHeight="1" x14ac:dyDescent="0.2">
      <c r="GE5346" s="84"/>
      <c r="GF5346" s="84"/>
      <c r="GG5346" s="84"/>
      <c r="GH5346" s="84"/>
    </row>
    <row r="5347" spans="187:190" s="2" customFormat="1" ht="18" customHeight="1" x14ac:dyDescent="0.2">
      <c r="GE5347" s="84"/>
      <c r="GF5347" s="84"/>
      <c r="GG5347" s="84"/>
      <c r="GH5347" s="84"/>
    </row>
    <row r="5348" spans="187:190" s="2" customFormat="1" ht="18" customHeight="1" x14ac:dyDescent="0.2">
      <c r="GE5348" s="84"/>
      <c r="GF5348" s="84"/>
      <c r="GG5348" s="84"/>
      <c r="GH5348" s="84"/>
    </row>
    <row r="5349" spans="187:190" s="2" customFormat="1" ht="18" customHeight="1" x14ac:dyDescent="0.2">
      <c r="GE5349" s="84"/>
      <c r="GF5349" s="84"/>
      <c r="GG5349" s="84"/>
      <c r="GH5349" s="84"/>
    </row>
    <row r="5350" spans="187:190" s="2" customFormat="1" ht="18" customHeight="1" x14ac:dyDescent="0.2">
      <c r="GE5350" s="84"/>
      <c r="GF5350" s="84"/>
      <c r="GG5350" s="84"/>
      <c r="GH5350" s="84"/>
    </row>
    <row r="5351" spans="187:190" s="2" customFormat="1" ht="18" customHeight="1" x14ac:dyDescent="0.2">
      <c r="GE5351" s="84"/>
      <c r="GF5351" s="84"/>
      <c r="GG5351" s="84"/>
      <c r="GH5351" s="84"/>
    </row>
    <row r="5352" spans="187:190" s="2" customFormat="1" ht="18" customHeight="1" x14ac:dyDescent="0.2">
      <c r="GE5352" s="84"/>
      <c r="GF5352" s="84"/>
      <c r="GG5352" s="84"/>
      <c r="GH5352" s="84"/>
    </row>
    <row r="5353" spans="187:190" s="2" customFormat="1" ht="18" customHeight="1" x14ac:dyDescent="0.2">
      <c r="GE5353" s="84"/>
      <c r="GF5353" s="84"/>
      <c r="GG5353" s="84"/>
      <c r="GH5353" s="84"/>
    </row>
    <row r="5354" spans="187:190" s="2" customFormat="1" ht="18" customHeight="1" x14ac:dyDescent="0.2">
      <c r="GE5354" s="84"/>
      <c r="GF5354" s="84"/>
      <c r="GG5354" s="84"/>
      <c r="GH5354" s="84"/>
    </row>
    <row r="5355" spans="187:190" s="2" customFormat="1" ht="18" customHeight="1" x14ac:dyDescent="0.2">
      <c r="GE5355" s="84"/>
      <c r="GF5355" s="84"/>
      <c r="GG5355" s="84"/>
      <c r="GH5355" s="84"/>
    </row>
    <row r="5356" spans="187:190" s="2" customFormat="1" ht="18" customHeight="1" x14ac:dyDescent="0.2">
      <c r="GE5356" s="84"/>
      <c r="GF5356" s="84"/>
      <c r="GG5356" s="84"/>
      <c r="GH5356" s="84"/>
    </row>
    <row r="5357" spans="187:190" s="2" customFormat="1" ht="18" customHeight="1" x14ac:dyDescent="0.2">
      <c r="GE5357" s="84"/>
      <c r="GF5357" s="84"/>
      <c r="GG5357" s="84"/>
      <c r="GH5357" s="84"/>
    </row>
    <row r="5358" spans="187:190" s="2" customFormat="1" ht="18" customHeight="1" x14ac:dyDescent="0.2">
      <c r="GE5358" s="84"/>
      <c r="GF5358" s="84"/>
      <c r="GG5358" s="84"/>
      <c r="GH5358" s="84"/>
    </row>
    <row r="5359" spans="187:190" s="2" customFormat="1" ht="18" customHeight="1" x14ac:dyDescent="0.2">
      <c r="GE5359" s="84"/>
      <c r="GF5359" s="84"/>
      <c r="GG5359" s="84"/>
      <c r="GH5359" s="84"/>
    </row>
    <row r="5360" spans="187:190" s="2" customFormat="1" ht="18" customHeight="1" x14ac:dyDescent="0.2">
      <c r="GE5360" s="84"/>
      <c r="GF5360" s="84"/>
      <c r="GG5360" s="84"/>
      <c r="GH5360" s="84"/>
    </row>
    <row r="5361" spans="187:190" s="2" customFormat="1" ht="18" customHeight="1" x14ac:dyDescent="0.2">
      <c r="GE5361" s="84"/>
      <c r="GF5361" s="84"/>
      <c r="GG5361" s="84"/>
      <c r="GH5361" s="84"/>
    </row>
    <row r="5362" spans="187:190" s="2" customFormat="1" ht="18" customHeight="1" x14ac:dyDescent="0.2">
      <c r="GE5362" s="84"/>
      <c r="GF5362" s="84"/>
      <c r="GG5362" s="84"/>
      <c r="GH5362" s="84"/>
    </row>
    <row r="5363" spans="187:190" s="2" customFormat="1" ht="18" customHeight="1" x14ac:dyDescent="0.2">
      <c r="GE5363" s="84"/>
      <c r="GF5363" s="84"/>
      <c r="GG5363" s="84"/>
      <c r="GH5363" s="84"/>
    </row>
    <row r="5364" spans="187:190" s="2" customFormat="1" ht="18" customHeight="1" x14ac:dyDescent="0.2">
      <c r="GE5364" s="84"/>
      <c r="GF5364" s="84"/>
      <c r="GG5364" s="84"/>
      <c r="GH5364" s="84"/>
    </row>
    <row r="5365" spans="187:190" s="2" customFormat="1" ht="18" customHeight="1" x14ac:dyDescent="0.2">
      <c r="GE5365" s="84"/>
      <c r="GF5365" s="84"/>
      <c r="GG5365" s="84"/>
      <c r="GH5365" s="84"/>
    </row>
    <row r="5366" spans="187:190" s="2" customFormat="1" ht="18" customHeight="1" x14ac:dyDescent="0.2">
      <c r="GE5366" s="84"/>
      <c r="GF5366" s="84"/>
      <c r="GG5366" s="84"/>
      <c r="GH5366" s="84"/>
    </row>
    <row r="5367" spans="187:190" s="2" customFormat="1" ht="18" customHeight="1" x14ac:dyDescent="0.2">
      <c r="GE5367" s="84"/>
      <c r="GF5367" s="84"/>
      <c r="GG5367" s="84"/>
      <c r="GH5367" s="84"/>
    </row>
    <row r="5368" spans="187:190" s="2" customFormat="1" ht="18" customHeight="1" x14ac:dyDescent="0.2">
      <c r="GE5368" s="84"/>
      <c r="GF5368" s="84"/>
      <c r="GG5368" s="84"/>
      <c r="GH5368" s="84"/>
    </row>
    <row r="5369" spans="187:190" s="2" customFormat="1" ht="18" customHeight="1" x14ac:dyDescent="0.2">
      <c r="GE5369" s="84"/>
      <c r="GF5369" s="84"/>
      <c r="GG5369" s="84"/>
      <c r="GH5369" s="84"/>
    </row>
    <row r="5370" spans="187:190" s="2" customFormat="1" ht="18" customHeight="1" x14ac:dyDescent="0.2">
      <c r="GE5370" s="84"/>
      <c r="GF5370" s="84"/>
      <c r="GG5370" s="84"/>
      <c r="GH5370" s="84"/>
    </row>
    <row r="5371" spans="187:190" s="2" customFormat="1" ht="18" customHeight="1" x14ac:dyDescent="0.2">
      <c r="GE5371" s="84"/>
      <c r="GF5371" s="84"/>
      <c r="GG5371" s="84"/>
      <c r="GH5371" s="84"/>
    </row>
    <row r="5372" spans="187:190" s="2" customFormat="1" ht="18" customHeight="1" x14ac:dyDescent="0.2">
      <c r="GE5372" s="84"/>
      <c r="GF5372" s="84"/>
      <c r="GG5372" s="84"/>
      <c r="GH5372" s="84"/>
    </row>
    <row r="5373" spans="187:190" s="2" customFormat="1" ht="18" customHeight="1" x14ac:dyDescent="0.2">
      <c r="GE5373" s="84"/>
      <c r="GF5373" s="84"/>
      <c r="GG5373" s="84"/>
      <c r="GH5373" s="84"/>
    </row>
    <row r="5374" spans="187:190" s="2" customFormat="1" ht="18" customHeight="1" x14ac:dyDescent="0.2">
      <c r="GE5374" s="84"/>
      <c r="GF5374" s="84"/>
      <c r="GG5374" s="84"/>
      <c r="GH5374" s="84"/>
    </row>
    <row r="5375" spans="187:190" s="2" customFormat="1" ht="18" customHeight="1" x14ac:dyDescent="0.2">
      <c r="GE5375" s="84"/>
      <c r="GF5375" s="84"/>
      <c r="GG5375" s="84"/>
      <c r="GH5375" s="84"/>
    </row>
    <row r="5376" spans="187:190" s="2" customFormat="1" ht="18" customHeight="1" x14ac:dyDescent="0.2">
      <c r="GE5376" s="84"/>
      <c r="GF5376" s="84"/>
      <c r="GG5376" s="84"/>
      <c r="GH5376" s="84"/>
    </row>
    <row r="5377" spans="187:190" s="2" customFormat="1" ht="18" customHeight="1" x14ac:dyDescent="0.2">
      <c r="GE5377" s="84"/>
      <c r="GF5377" s="84"/>
      <c r="GG5377" s="84"/>
      <c r="GH5377" s="84"/>
    </row>
    <row r="5378" spans="187:190" s="2" customFormat="1" ht="18" customHeight="1" x14ac:dyDescent="0.2">
      <c r="GE5378" s="84"/>
      <c r="GF5378" s="84"/>
      <c r="GG5378" s="84"/>
      <c r="GH5378" s="84"/>
    </row>
    <row r="5379" spans="187:190" s="2" customFormat="1" ht="18" customHeight="1" x14ac:dyDescent="0.2">
      <c r="GE5379" s="84"/>
      <c r="GF5379" s="84"/>
      <c r="GG5379" s="84"/>
      <c r="GH5379" s="84"/>
    </row>
    <row r="5380" spans="187:190" s="2" customFormat="1" ht="18" customHeight="1" x14ac:dyDescent="0.2">
      <c r="GE5380" s="84"/>
      <c r="GF5380" s="84"/>
      <c r="GG5380" s="84"/>
      <c r="GH5380" s="84"/>
    </row>
    <row r="5381" spans="187:190" s="2" customFormat="1" ht="18" customHeight="1" x14ac:dyDescent="0.2">
      <c r="GE5381" s="84"/>
      <c r="GF5381" s="84"/>
      <c r="GG5381" s="84"/>
      <c r="GH5381" s="84"/>
    </row>
    <row r="5382" spans="187:190" s="2" customFormat="1" ht="18" customHeight="1" x14ac:dyDescent="0.2">
      <c r="GE5382" s="84"/>
      <c r="GF5382" s="84"/>
      <c r="GG5382" s="84"/>
      <c r="GH5382" s="84"/>
    </row>
    <row r="5383" spans="187:190" s="2" customFormat="1" ht="18" customHeight="1" x14ac:dyDescent="0.2">
      <c r="GE5383" s="84"/>
      <c r="GF5383" s="84"/>
      <c r="GG5383" s="84"/>
      <c r="GH5383" s="84"/>
    </row>
    <row r="5384" spans="187:190" s="2" customFormat="1" ht="18" customHeight="1" x14ac:dyDescent="0.2">
      <c r="GE5384" s="84"/>
      <c r="GF5384" s="84"/>
      <c r="GG5384" s="84"/>
      <c r="GH5384" s="84"/>
    </row>
    <row r="5385" spans="187:190" s="2" customFormat="1" ht="18" customHeight="1" x14ac:dyDescent="0.2">
      <c r="GE5385" s="84"/>
      <c r="GF5385" s="84"/>
      <c r="GG5385" s="84"/>
      <c r="GH5385" s="84"/>
    </row>
    <row r="5386" spans="187:190" s="2" customFormat="1" ht="18" customHeight="1" x14ac:dyDescent="0.2">
      <c r="GE5386" s="84"/>
      <c r="GF5386" s="84"/>
      <c r="GG5386" s="84"/>
      <c r="GH5386" s="84"/>
    </row>
    <row r="5387" spans="187:190" s="2" customFormat="1" ht="18" customHeight="1" x14ac:dyDescent="0.2">
      <c r="GE5387" s="84"/>
      <c r="GF5387" s="84"/>
      <c r="GG5387" s="84"/>
      <c r="GH5387" s="84"/>
    </row>
    <row r="5388" spans="187:190" s="2" customFormat="1" ht="18" customHeight="1" x14ac:dyDescent="0.2">
      <c r="GE5388" s="84"/>
      <c r="GF5388" s="84"/>
      <c r="GG5388" s="84"/>
      <c r="GH5388" s="84"/>
    </row>
    <row r="5389" spans="187:190" s="2" customFormat="1" ht="18" customHeight="1" x14ac:dyDescent="0.2">
      <c r="GE5389" s="84"/>
      <c r="GF5389" s="84"/>
      <c r="GG5389" s="84"/>
      <c r="GH5389" s="84"/>
    </row>
    <row r="5390" spans="187:190" s="2" customFormat="1" ht="18" customHeight="1" x14ac:dyDescent="0.2">
      <c r="GE5390" s="84"/>
      <c r="GF5390" s="84"/>
      <c r="GG5390" s="84"/>
      <c r="GH5390" s="84"/>
    </row>
    <row r="5391" spans="187:190" s="2" customFormat="1" ht="18" customHeight="1" x14ac:dyDescent="0.2">
      <c r="GE5391" s="84"/>
      <c r="GF5391" s="84"/>
      <c r="GG5391" s="84"/>
      <c r="GH5391" s="84"/>
    </row>
    <row r="5392" spans="187:190" s="2" customFormat="1" ht="18" customHeight="1" x14ac:dyDescent="0.2">
      <c r="GE5392" s="84"/>
      <c r="GF5392" s="84"/>
      <c r="GG5392" s="84"/>
      <c r="GH5392" s="84"/>
    </row>
    <row r="5393" spans="187:190" s="2" customFormat="1" ht="18" customHeight="1" x14ac:dyDescent="0.2">
      <c r="GE5393" s="84"/>
      <c r="GF5393" s="84"/>
      <c r="GG5393" s="84"/>
      <c r="GH5393" s="84"/>
    </row>
    <row r="5394" spans="187:190" s="2" customFormat="1" ht="18" customHeight="1" x14ac:dyDescent="0.2">
      <c r="GE5394" s="84"/>
      <c r="GF5394" s="84"/>
      <c r="GG5394" s="84"/>
      <c r="GH5394" s="84"/>
    </row>
    <row r="5395" spans="187:190" s="2" customFormat="1" ht="18" customHeight="1" x14ac:dyDescent="0.2">
      <c r="GE5395" s="84"/>
      <c r="GF5395" s="84"/>
      <c r="GG5395" s="84"/>
      <c r="GH5395" s="84"/>
    </row>
    <row r="5396" spans="187:190" s="2" customFormat="1" ht="18" customHeight="1" x14ac:dyDescent="0.2">
      <c r="GE5396" s="84"/>
      <c r="GF5396" s="84"/>
      <c r="GG5396" s="84"/>
      <c r="GH5396" s="84"/>
    </row>
    <row r="5397" spans="187:190" s="2" customFormat="1" ht="18" customHeight="1" x14ac:dyDescent="0.2">
      <c r="GE5397" s="84"/>
      <c r="GF5397" s="84"/>
      <c r="GG5397" s="84"/>
      <c r="GH5397" s="84"/>
    </row>
    <row r="5398" spans="187:190" s="2" customFormat="1" ht="18" customHeight="1" x14ac:dyDescent="0.2">
      <c r="GE5398" s="84"/>
      <c r="GF5398" s="84"/>
      <c r="GG5398" s="84"/>
      <c r="GH5398" s="84"/>
    </row>
    <row r="5399" spans="187:190" s="2" customFormat="1" ht="18" customHeight="1" x14ac:dyDescent="0.2">
      <c r="GE5399" s="84"/>
      <c r="GF5399" s="84"/>
      <c r="GG5399" s="84"/>
      <c r="GH5399" s="84"/>
    </row>
    <row r="5400" spans="187:190" s="2" customFormat="1" ht="18" customHeight="1" x14ac:dyDescent="0.2">
      <c r="GE5400" s="84"/>
      <c r="GF5400" s="84"/>
      <c r="GG5400" s="84"/>
      <c r="GH5400" s="84"/>
    </row>
    <row r="5401" spans="187:190" s="2" customFormat="1" ht="18" customHeight="1" x14ac:dyDescent="0.2">
      <c r="GE5401" s="84"/>
      <c r="GF5401" s="84"/>
      <c r="GG5401" s="84"/>
      <c r="GH5401" s="84"/>
    </row>
    <row r="5402" spans="187:190" s="2" customFormat="1" ht="18" customHeight="1" x14ac:dyDescent="0.2">
      <c r="GE5402" s="84"/>
      <c r="GF5402" s="84"/>
      <c r="GG5402" s="84"/>
      <c r="GH5402" s="84"/>
    </row>
    <row r="5403" spans="187:190" s="2" customFormat="1" ht="18" customHeight="1" x14ac:dyDescent="0.2">
      <c r="GE5403" s="84"/>
      <c r="GF5403" s="84"/>
      <c r="GG5403" s="84"/>
      <c r="GH5403" s="84"/>
    </row>
    <row r="5404" spans="187:190" s="2" customFormat="1" ht="18" customHeight="1" x14ac:dyDescent="0.2">
      <c r="GE5404" s="84"/>
      <c r="GF5404" s="84"/>
      <c r="GG5404" s="84"/>
      <c r="GH5404" s="84"/>
    </row>
    <row r="5405" spans="187:190" s="2" customFormat="1" ht="18" customHeight="1" x14ac:dyDescent="0.2">
      <c r="GE5405" s="84"/>
      <c r="GF5405" s="84"/>
      <c r="GG5405" s="84"/>
      <c r="GH5405" s="84"/>
    </row>
    <row r="5406" spans="187:190" s="2" customFormat="1" ht="18" customHeight="1" x14ac:dyDescent="0.2">
      <c r="GE5406" s="84"/>
      <c r="GF5406" s="84"/>
      <c r="GG5406" s="84"/>
      <c r="GH5406" s="84"/>
    </row>
    <row r="5407" spans="187:190" s="2" customFormat="1" ht="18" customHeight="1" x14ac:dyDescent="0.2">
      <c r="GE5407" s="84"/>
      <c r="GF5407" s="84"/>
      <c r="GG5407" s="84"/>
      <c r="GH5407" s="84"/>
    </row>
    <row r="5408" spans="187:190" s="2" customFormat="1" ht="18" customHeight="1" x14ac:dyDescent="0.2">
      <c r="GE5408" s="84"/>
      <c r="GF5408" s="84"/>
      <c r="GG5408" s="84"/>
      <c r="GH5408" s="84"/>
    </row>
    <row r="5409" spans="187:190" s="2" customFormat="1" ht="18" customHeight="1" x14ac:dyDescent="0.2">
      <c r="GE5409" s="84"/>
      <c r="GF5409" s="84"/>
      <c r="GG5409" s="84"/>
      <c r="GH5409" s="84"/>
    </row>
    <row r="5410" spans="187:190" s="2" customFormat="1" ht="18" customHeight="1" x14ac:dyDescent="0.2">
      <c r="GE5410" s="84"/>
      <c r="GF5410" s="84"/>
      <c r="GG5410" s="84"/>
      <c r="GH5410" s="84"/>
    </row>
    <row r="5411" spans="187:190" s="2" customFormat="1" ht="18" customHeight="1" x14ac:dyDescent="0.2">
      <c r="GE5411" s="84"/>
      <c r="GF5411" s="84"/>
      <c r="GG5411" s="84"/>
      <c r="GH5411" s="84"/>
    </row>
    <row r="5412" spans="187:190" s="2" customFormat="1" ht="18" customHeight="1" x14ac:dyDescent="0.2">
      <c r="GE5412" s="84"/>
      <c r="GF5412" s="84"/>
      <c r="GG5412" s="84"/>
      <c r="GH5412" s="84"/>
    </row>
    <row r="5413" spans="187:190" s="2" customFormat="1" ht="18" customHeight="1" x14ac:dyDescent="0.2">
      <c r="GE5413" s="84"/>
      <c r="GF5413" s="84"/>
      <c r="GG5413" s="84"/>
      <c r="GH5413" s="84"/>
    </row>
    <row r="5414" spans="187:190" s="2" customFormat="1" ht="18" customHeight="1" x14ac:dyDescent="0.2">
      <c r="GE5414" s="84"/>
      <c r="GF5414" s="84"/>
      <c r="GG5414" s="84"/>
      <c r="GH5414" s="84"/>
    </row>
    <row r="5415" spans="187:190" s="2" customFormat="1" ht="18" customHeight="1" x14ac:dyDescent="0.2">
      <c r="GE5415" s="84"/>
      <c r="GF5415" s="84"/>
      <c r="GG5415" s="84"/>
      <c r="GH5415" s="84"/>
    </row>
    <row r="5416" spans="187:190" s="2" customFormat="1" ht="18" customHeight="1" x14ac:dyDescent="0.2">
      <c r="GE5416" s="84"/>
      <c r="GF5416" s="84"/>
      <c r="GG5416" s="84"/>
      <c r="GH5416" s="84"/>
    </row>
    <row r="5417" spans="187:190" s="2" customFormat="1" ht="18" customHeight="1" x14ac:dyDescent="0.2">
      <c r="GE5417" s="84"/>
      <c r="GF5417" s="84"/>
      <c r="GG5417" s="84"/>
      <c r="GH5417" s="84"/>
    </row>
    <row r="5418" spans="187:190" s="2" customFormat="1" ht="18" customHeight="1" x14ac:dyDescent="0.2">
      <c r="GE5418" s="84"/>
      <c r="GF5418" s="84"/>
      <c r="GG5418" s="84"/>
      <c r="GH5418" s="84"/>
    </row>
    <row r="5419" spans="187:190" s="2" customFormat="1" ht="18" customHeight="1" x14ac:dyDescent="0.2">
      <c r="GE5419" s="84"/>
      <c r="GF5419" s="84"/>
      <c r="GG5419" s="84"/>
      <c r="GH5419" s="84"/>
    </row>
    <row r="5420" spans="187:190" s="2" customFormat="1" ht="18" customHeight="1" x14ac:dyDescent="0.2">
      <c r="GE5420" s="84"/>
      <c r="GF5420" s="84"/>
      <c r="GG5420" s="84"/>
      <c r="GH5420" s="84"/>
    </row>
    <row r="5421" spans="187:190" s="2" customFormat="1" ht="18" customHeight="1" x14ac:dyDescent="0.2">
      <c r="GE5421" s="84"/>
      <c r="GF5421" s="84"/>
      <c r="GG5421" s="84"/>
      <c r="GH5421" s="84"/>
    </row>
    <row r="5422" spans="187:190" s="2" customFormat="1" ht="18" customHeight="1" x14ac:dyDescent="0.2">
      <c r="GE5422" s="84"/>
      <c r="GF5422" s="84"/>
      <c r="GG5422" s="84"/>
      <c r="GH5422" s="84"/>
    </row>
    <row r="5423" spans="187:190" s="2" customFormat="1" ht="18" customHeight="1" x14ac:dyDescent="0.2">
      <c r="GE5423" s="84"/>
      <c r="GF5423" s="84"/>
      <c r="GG5423" s="84"/>
      <c r="GH5423" s="84"/>
    </row>
    <row r="5424" spans="187:190" s="2" customFormat="1" ht="18" customHeight="1" x14ac:dyDescent="0.2">
      <c r="GE5424" s="84"/>
      <c r="GF5424" s="84"/>
      <c r="GG5424" s="84"/>
      <c r="GH5424" s="84"/>
    </row>
    <row r="5425" spans="187:190" s="2" customFormat="1" ht="18" customHeight="1" x14ac:dyDescent="0.2">
      <c r="GE5425" s="84"/>
      <c r="GF5425" s="84"/>
      <c r="GG5425" s="84"/>
      <c r="GH5425" s="84"/>
    </row>
    <row r="5426" spans="187:190" s="2" customFormat="1" ht="18" customHeight="1" x14ac:dyDescent="0.2">
      <c r="GE5426" s="84"/>
      <c r="GF5426" s="84"/>
      <c r="GG5426" s="84"/>
      <c r="GH5426" s="84"/>
    </row>
    <row r="5427" spans="187:190" s="2" customFormat="1" ht="18" customHeight="1" x14ac:dyDescent="0.2">
      <c r="GE5427" s="84"/>
      <c r="GF5427" s="84"/>
      <c r="GG5427" s="84"/>
      <c r="GH5427" s="84"/>
    </row>
    <row r="5428" spans="187:190" s="2" customFormat="1" ht="18" customHeight="1" x14ac:dyDescent="0.2">
      <c r="GE5428" s="84"/>
      <c r="GF5428" s="84"/>
      <c r="GG5428" s="84"/>
      <c r="GH5428" s="84"/>
    </row>
    <row r="5429" spans="187:190" s="2" customFormat="1" ht="18" customHeight="1" x14ac:dyDescent="0.2">
      <c r="GE5429" s="84"/>
      <c r="GF5429" s="84"/>
      <c r="GG5429" s="84"/>
      <c r="GH5429" s="84"/>
    </row>
    <row r="5430" spans="187:190" s="2" customFormat="1" ht="18" customHeight="1" x14ac:dyDescent="0.2">
      <c r="GE5430" s="84"/>
      <c r="GF5430" s="84"/>
      <c r="GG5430" s="84"/>
      <c r="GH5430" s="84"/>
    </row>
    <row r="5431" spans="187:190" s="2" customFormat="1" ht="18" customHeight="1" x14ac:dyDescent="0.2">
      <c r="GE5431" s="84"/>
      <c r="GF5431" s="84"/>
      <c r="GG5431" s="84"/>
      <c r="GH5431" s="84"/>
    </row>
    <row r="5432" spans="187:190" s="2" customFormat="1" ht="18" customHeight="1" x14ac:dyDescent="0.2">
      <c r="GE5432" s="84"/>
      <c r="GF5432" s="84"/>
      <c r="GG5432" s="84"/>
      <c r="GH5432" s="84"/>
    </row>
    <row r="5433" spans="187:190" s="2" customFormat="1" ht="18" customHeight="1" x14ac:dyDescent="0.2">
      <c r="GE5433" s="84"/>
      <c r="GF5433" s="84"/>
      <c r="GG5433" s="84"/>
      <c r="GH5433" s="84"/>
    </row>
    <row r="5434" spans="187:190" s="2" customFormat="1" ht="18" customHeight="1" x14ac:dyDescent="0.2">
      <c r="GE5434" s="84"/>
      <c r="GF5434" s="84"/>
      <c r="GG5434" s="84"/>
      <c r="GH5434" s="84"/>
    </row>
    <row r="5435" spans="187:190" s="2" customFormat="1" ht="18" customHeight="1" x14ac:dyDescent="0.2">
      <c r="GE5435" s="84"/>
      <c r="GF5435" s="84"/>
      <c r="GG5435" s="84"/>
      <c r="GH5435" s="84"/>
    </row>
    <row r="5436" spans="187:190" s="2" customFormat="1" ht="18" customHeight="1" x14ac:dyDescent="0.2">
      <c r="GE5436" s="84"/>
      <c r="GF5436" s="84"/>
      <c r="GG5436" s="84"/>
      <c r="GH5436" s="84"/>
    </row>
    <row r="5437" spans="187:190" s="2" customFormat="1" ht="18" customHeight="1" x14ac:dyDescent="0.2">
      <c r="GE5437" s="84"/>
      <c r="GF5437" s="84"/>
      <c r="GG5437" s="84"/>
      <c r="GH5437" s="84"/>
    </row>
    <row r="5438" spans="187:190" s="2" customFormat="1" ht="18" customHeight="1" x14ac:dyDescent="0.2">
      <c r="GE5438" s="84"/>
      <c r="GF5438" s="84"/>
      <c r="GG5438" s="84"/>
      <c r="GH5438" s="84"/>
    </row>
    <row r="5439" spans="187:190" s="2" customFormat="1" ht="18" customHeight="1" x14ac:dyDescent="0.2">
      <c r="GE5439" s="84"/>
      <c r="GF5439" s="84"/>
      <c r="GG5439" s="84"/>
      <c r="GH5439" s="84"/>
    </row>
    <row r="5440" spans="187:190" s="2" customFormat="1" ht="18" customHeight="1" x14ac:dyDescent="0.2">
      <c r="GE5440" s="84"/>
      <c r="GF5440" s="84"/>
      <c r="GG5440" s="84"/>
      <c r="GH5440" s="84"/>
    </row>
    <row r="5441" spans="187:190" s="2" customFormat="1" ht="18" customHeight="1" x14ac:dyDescent="0.2">
      <c r="GE5441" s="84"/>
      <c r="GF5441" s="84"/>
      <c r="GG5441" s="84"/>
      <c r="GH5441" s="84"/>
    </row>
    <row r="5442" spans="187:190" s="2" customFormat="1" ht="18" customHeight="1" x14ac:dyDescent="0.2">
      <c r="GE5442" s="84"/>
      <c r="GF5442" s="84"/>
      <c r="GG5442" s="84"/>
      <c r="GH5442" s="84"/>
    </row>
    <row r="5443" spans="187:190" s="2" customFormat="1" ht="18" customHeight="1" x14ac:dyDescent="0.2">
      <c r="GE5443" s="84"/>
      <c r="GF5443" s="84"/>
      <c r="GG5443" s="84"/>
      <c r="GH5443" s="84"/>
    </row>
    <row r="5444" spans="187:190" s="2" customFormat="1" ht="18" customHeight="1" x14ac:dyDescent="0.2">
      <c r="GE5444" s="84"/>
      <c r="GF5444" s="84"/>
      <c r="GG5444" s="84"/>
      <c r="GH5444" s="84"/>
    </row>
    <row r="5445" spans="187:190" s="2" customFormat="1" ht="18" customHeight="1" x14ac:dyDescent="0.2">
      <c r="GE5445" s="84"/>
      <c r="GF5445" s="84"/>
      <c r="GG5445" s="84"/>
      <c r="GH5445" s="84"/>
    </row>
    <row r="5446" spans="187:190" s="2" customFormat="1" ht="18" customHeight="1" x14ac:dyDescent="0.2">
      <c r="GE5446" s="84"/>
      <c r="GF5446" s="84"/>
      <c r="GG5446" s="84"/>
      <c r="GH5446" s="84"/>
    </row>
    <row r="5447" spans="187:190" s="2" customFormat="1" ht="18" customHeight="1" x14ac:dyDescent="0.2">
      <c r="GE5447" s="84"/>
      <c r="GF5447" s="84"/>
      <c r="GG5447" s="84"/>
      <c r="GH5447" s="84"/>
    </row>
    <row r="5448" spans="187:190" s="2" customFormat="1" ht="18" customHeight="1" x14ac:dyDescent="0.2">
      <c r="GE5448" s="84"/>
      <c r="GF5448" s="84"/>
      <c r="GG5448" s="84"/>
      <c r="GH5448" s="84"/>
    </row>
    <row r="5449" spans="187:190" s="2" customFormat="1" ht="18" customHeight="1" x14ac:dyDescent="0.2">
      <c r="GE5449" s="84"/>
      <c r="GF5449" s="84"/>
      <c r="GG5449" s="84"/>
      <c r="GH5449" s="84"/>
    </row>
    <row r="5450" spans="187:190" s="2" customFormat="1" ht="18" customHeight="1" x14ac:dyDescent="0.2">
      <c r="GE5450" s="84"/>
      <c r="GF5450" s="84"/>
      <c r="GG5450" s="84"/>
      <c r="GH5450" s="84"/>
    </row>
    <row r="5451" spans="187:190" s="2" customFormat="1" ht="18" customHeight="1" x14ac:dyDescent="0.2">
      <c r="GE5451" s="84"/>
      <c r="GF5451" s="84"/>
      <c r="GG5451" s="84"/>
      <c r="GH5451" s="84"/>
    </row>
    <row r="5452" spans="187:190" s="2" customFormat="1" ht="18" customHeight="1" x14ac:dyDescent="0.2">
      <c r="GE5452" s="84"/>
      <c r="GF5452" s="84"/>
      <c r="GG5452" s="84"/>
      <c r="GH5452" s="84"/>
    </row>
    <row r="5453" spans="187:190" s="2" customFormat="1" ht="18" customHeight="1" x14ac:dyDescent="0.2">
      <c r="GE5453" s="84"/>
      <c r="GF5453" s="84"/>
      <c r="GG5453" s="84"/>
      <c r="GH5453" s="84"/>
    </row>
    <row r="5454" spans="187:190" s="2" customFormat="1" ht="18" customHeight="1" x14ac:dyDescent="0.2">
      <c r="GE5454" s="84"/>
      <c r="GF5454" s="84"/>
      <c r="GG5454" s="84"/>
      <c r="GH5454" s="84"/>
    </row>
    <row r="5455" spans="187:190" s="2" customFormat="1" ht="18" customHeight="1" x14ac:dyDescent="0.2">
      <c r="GE5455" s="84"/>
      <c r="GF5455" s="84"/>
      <c r="GG5455" s="84"/>
      <c r="GH5455" s="84"/>
    </row>
    <row r="5456" spans="187:190" s="2" customFormat="1" ht="18" customHeight="1" x14ac:dyDescent="0.2">
      <c r="GE5456" s="84"/>
      <c r="GF5456" s="84"/>
      <c r="GG5456" s="84"/>
      <c r="GH5456" s="84"/>
    </row>
    <row r="5457" spans="187:190" s="2" customFormat="1" ht="18" customHeight="1" x14ac:dyDescent="0.2">
      <c r="GE5457" s="84"/>
      <c r="GF5457" s="84"/>
      <c r="GG5457" s="84"/>
      <c r="GH5457" s="84"/>
    </row>
    <row r="5458" spans="187:190" s="2" customFormat="1" ht="18" customHeight="1" x14ac:dyDescent="0.2">
      <c r="GE5458" s="84"/>
      <c r="GF5458" s="84"/>
      <c r="GG5458" s="84"/>
      <c r="GH5458" s="84"/>
    </row>
    <row r="5459" spans="187:190" s="2" customFormat="1" ht="18" customHeight="1" x14ac:dyDescent="0.2">
      <c r="GE5459" s="84"/>
      <c r="GF5459" s="84"/>
      <c r="GG5459" s="84"/>
      <c r="GH5459" s="84"/>
    </row>
    <row r="5460" spans="187:190" s="2" customFormat="1" ht="18" customHeight="1" x14ac:dyDescent="0.2">
      <c r="GE5460" s="84"/>
      <c r="GF5460" s="84"/>
      <c r="GG5460" s="84"/>
      <c r="GH5460" s="84"/>
    </row>
    <row r="5461" spans="187:190" s="2" customFormat="1" ht="18" customHeight="1" x14ac:dyDescent="0.2">
      <c r="GE5461" s="84"/>
      <c r="GF5461" s="84"/>
      <c r="GG5461" s="84"/>
      <c r="GH5461" s="84"/>
    </row>
    <row r="5462" spans="187:190" s="2" customFormat="1" ht="18" customHeight="1" x14ac:dyDescent="0.2">
      <c r="GE5462" s="84"/>
      <c r="GF5462" s="84"/>
      <c r="GG5462" s="84"/>
      <c r="GH5462" s="84"/>
    </row>
    <row r="5463" spans="187:190" s="2" customFormat="1" ht="18" customHeight="1" x14ac:dyDescent="0.2">
      <c r="GE5463" s="84"/>
      <c r="GF5463" s="84"/>
      <c r="GG5463" s="84"/>
      <c r="GH5463" s="84"/>
    </row>
    <row r="5464" spans="187:190" s="2" customFormat="1" ht="18" customHeight="1" x14ac:dyDescent="0.2">
      <c r="GE5464" s="84"/>
      <c r="GF5464" s="84"/>
      <c r="GG5464" s="84"/>
      <c r="GH5464" s="84"/>
    </row>
    <row r="5465" spans="187:190" s="2" customFormat="1" ht="18" customHeight="1" x14ac:dyDescent="0.2">
      <c r="GE5465" s="84"/>
      <c r="GF5465" s="84"/>
      <c r="GG5465" s="84"/>
      <c r="GH5465" s="84"/>
    </row>
    <row r="5466" spans="187:190" s="2" customFormat="1" ht="18" customHeight="1" x14ac:dyDescent="0.2">
      <c r="GE5466" s="84"/>
      <c r="GF5466" s="84"/>
      <c r="GG5466" s="84"/>
      <c r="GH5466" s="84"/>
    </row>
    <row r="5467" spans="187:190" s="2" customFormat="1" ht="18" customHeight="1" x14ac:dyDescent="0.2">
      <c r="GE5467" s="84"/>
      <c r="GF5467" s="84"/>
      <c r="GG5467" s="84"/>
      <c r="GH5467" s="84"/>
    </row>
    <row r="5468" spans="187:190" s="2" customFormat="1" ht="18" customHeight="1" x14ac:dyDescent="0.2">
      <c r="GE5468" s="84"/>
      <c r="GF5468" s="84"/>
      <c r="GG5468" s="84"/>
      <c r="GH5468" s="84"/>
    </row>
    <row r="5469" spans="187:190" s="2" customFormat="1" ht="18" customHeight="1" x14ac:dyDescent="0.2">
      <c r="GE5469" s="84"/>
      <c r="GF5469" s="84"/>
      <c r="GG5469" s="84"/>
      <c r="GH5469" s="84"/>
    </row>
    <row r="5470" spans="187:190" s="2" customFormat="1" ht="18" customHeight="1" x14ac:dyDescent="0.2">
      <c r="GE5470" s="84"/>
      <c r="GF5470" s="84"/>
      <c r="GG5470" s="84"/>
      <c r="GH5470" s="84"/>
    </row>
    <row r="5471" spans="187:190" s="2" customFormat="1" ht="18" customHeight="1" x14ac:dyDescent="0.2">
      <c r="GE5471" s="84"/>
      <c r="GF5471" s="84"/>
      <c r="GG5471" s="84"/>
      <c r="GH5471" s="84"/>
    </row>
    <row r="5472" spans="187:190" s="2" customFormat="1" ht="18" customHeight="1" x14ac:dyDescent="0.2">
      <c r="GE5472" s="84"/>
      <c r="GF5472" s="84"/>
      <c r="GG5472" s="84"/>
      <c r="GH5472" s="84"/>
    </row>
    <row r="5473" spans="187:190" s="2" customFormat="1" ht="18" customHeight="1" x14ac:dyDescent="0.2">
      <c r="GE5473" s="84"/>
      <c r="GF5473" s="84"/>
      <c r="GG5473" s="84"/>
      <c r="GH5473" s="84"/>
    </row>
    <row r="5474" spans="187:190" s="2" customFormat="1" ht="18" customHeight="1" x14ac:dyDescent="0.2">
      <c r="GE5474" s="84"/>
      <c r="GF5474" s="84"/>
      <c r="GG5474" s="84"/>
      <c r="GH5474" s="84"/>
    </row>
    <row r="5475" spans="187:190" s="2" customFormat="1" ht="18" customHeight="1" x14ac:dyDescent="0.2">
      <c r="GE5475" s="84"/>
      <c r="GF5475" s="84"/>
      <c r="GG5475" s="84"/>
      <c r="GH5475" s="84"/>
    </row>
    <row r="5476" spans="187:190" s="2" customFormat="1" ht="18" customHeight="1" x14ac:dyDescent="0.2">
      <c r="GE5476" s="84"/>
      <c r="GF5476" s="84"/>
      <c r="GG5476" s="84"/>
      <c r="GH5476" s="84"/>
    </row>
    <row r="5477" spans="187:190" s="2" customFormat="1" ht="18" customHeight="1" x14ac:dyDescent="0.2">
      <c r="GE5477" s="84"/>
      <c r="GF5477" s="84"/>
      <c r="GG5477" s="84"/>
      <c r="GH5477" s="84"/>
    </row>
    <row r="5478" spans="187:190" s="2" customFormat="1" ht="18" customHeight="1" x14ac:dyDescent="0.2">
      <c r="GE5478" s="84"/>
      <c r="GF5478" s="84"/>
      <c r="GG5478" s="84"/>
      <c r="GH5478" s="84"/>
    </row>
    <row r="5479" spans="187:190" s="2" customFormat="1" ht="18" customHeight="1" x14ac:dyDescent="0.2">
      <c r="GE5479" s="84"/>
      <c r="GF5479" s="84"/>
      <c r="GG5479" s="84"/>
      <c r="GH5479" s="84"/>
    </row>
    <row r="5480" spans="187:190" s="2" customFormat="1" ht="18" customHeight="1" x14ac:dyDescent="0.2">
      <c r="GE5480" s="84"/>
      <c r="GF5480" s="84"/>
      <c r="GG5480" s="84"/>
      <c r="GH5480" s="84"/>
    </row>
    <row r="5481" spans="187:190" s="2" customFormat="1" ht="18" customHeight="1" x14ac:dyDescent="0.2">
      <c r="GE5481" s="84"/>
      <c r="GF5481" s="84"/>
      <c r="GG5481" s="84"/>
      <c r="GH5481" s="84"/>
    </row>
    <row r="5482" spans="187:190" s="2" customFormat="1" ht="18" customHeight="1" x14ac:dyDescent="0.2">
      <c r="GE5482" s="84"/>
      <c r="GF5482" s="84"/>
      <c r="GG5482" s="84"/>
      <c r="GH5482" s="84"/>
    </row>
    <row r="5483" spans="187:190" s="2" customFormat="1" ht="18" customHeight="1" x14ac:dyDescent="0.2">
      <c r="GE5483" s="84"/>
      <c r="GF5483" s="84"/>
      <c r="GG5483" s="84"/>
      <c r="GH5483" s="84"/>
    </row>
    <row r="5484" spans="187:190" s="2" customFormat="1" ht="18" customHeight="1" x14ac:dyDescent="0.2">
      <c r="GE5484" s="84"/>
      <c r="GF5484" s="84"/>
      <c r="GG5484" s="84"/>
      <c r="GH5484" s="84"/>
    </row>
    <row r="5485" spans="187:190" s="2" customFormat="1" ht="18" customHeight="1" x14ac:dyDescent="0.2">
      <c r="GE5485" s="84"/>
      <c r="GF5485" s="84"/>
      <c r="GG5485" s="84"/>
      <c r="GH5485" s="84"/>
    </row>
    <row r="5486" spans="187:190" s="2" customFormat="1" ht="18" customHeight="1" x14ac:dyDescent="0.2">
      <c r="GE5486" s="84"/>
      <c r="GF5486" s="84"/>
      <c r="GG5486" s="84"/>
      <c r="GH5486" s="84"/>
    </row>
    <row r="5487" spans="187:190" s="2" customFormat="1" ht="18" customHeight="1" x14ac:dyDescent="0.2">
      <c r="GE5487" s="84"/>
      <c r="GF5487" s="84"/>
      <c r="GG5487" s="84"/>
      <c r="GH5487" s="84"/>
    </row>
    <row r="5488" spans="187:190" s="2" customFormat="1" ht="18" customHeight="1" x14ac:dyDescent="0.2">
      <c r="GE5488" s="84"/>
      <c r="GF5488" s="84"/>
      <c r="GG5488" s="84"/>
      <c r="GH5488" s="84"/>
    </row>
    <row r="5489" spans="187:190" s="2" customFormat="1" ht="18" customHeight="1" x14ac:dyDescent="0.2">
      <c r="GE5489" s="84"/>
      <c r="GF5489" s="84"/>
      <c r="GG5489" s="84"/>
      <c r="GH5489" s="84"/>
    </row>
    <row r="5490" spans="187:190" s="2" customFormat="1" ht="18" customHeight="1" x14ac:dyDescent="0.2">
      <c r="GE5490" s="84"/>
      <c r="GF5490" s="84"/>
      <c r="GG5490" s="84"/>
      <c r="GH5490" s="84"/>
    </row>
    <row r="5491" spans="187:190" s="2" customFormat="1" ht="18" customHeight="1" x14ac:dyDescent="0.2">
      <c r="GE5491" s="84"/>
      <c r="GF5491" s="84"/>
      <c r="GG5491" s="84"/>
      <c r="GH5491" s="84"/>
    </row>
    <row r="5492" spans="187:190" s="2" customFormat="1" ht="18" customHeight="1" x14ac:dyDescent="0.2">
      <c r="GE5492" s="84"/>
      <c r="GF5492" s="84"/>
      <c r="GG5492" s="84"/>
      <c r="GH5492" s="84"/>
    </row>
    <row r="5493" spans="187:190" s="2" customFormat="1" ht="18" customHeight="1" x14ac:dyDescent="0.2">
      <c r="GE5493" s="84"/>
      <c r="GF5493" s="84"/>
      <c r="GG5493" s="84"/>
      <c r="GH5493" s="84"/>
    </row>
    <row r="5494" spans="187:190" s="2" customFormat="1" ht="18" customHeight="1" x14ac:dyDescent="0.2">
      <c r="GE5494" s="84"/>
      <c r="GF5494" s="84"/>
      <c r="GG5494" s="84"/>
      <c r="GH5494" s="84"/>
    </row>
    <row r="5495" spans="187:190" s="2" customFormat="1" ht="18" customHeight="1" x14ac:dyDescent="0.2">
      <c r="GE5495" s="84"/>
      <c r="GF5495" s="84"/>
      <c r="GG5495" s="84"/>
      <c r="GH5495" s="84"/>
    </row>
    <row r="5496" spans="187:190" s="2" customFormat="1" ht="18" customHeight="1" x14ac:dyDescent="0.2">
      <c r="GE5496" s="84"/>
      <c r="GF5496" s="84"/>
      <c r="GG5496" s="84"/>
      <c r="GH5496" s="84"/>
    </row>
    <row r="5497" spans="187:190" s="2" customFormat="1" ht="18" customHeight="1" x14ac:dyDescent="0.2">
      <c r="GE5497" s="84"/>
      <c r="GF5497" s="84"/>
      <c r="GG5497" s="84"/>
      <c r="GH5497" s="84"/>
    </row>
    <row r="5498" spans="187:190" s="2" customFormat="1" ht="18" customHeight="1" x14ac:dyDescent="0.2">
      <c r="GE5498" s="84"/>
      <c r="GF5498" s="84"/>
      <c r="GG5498" s="84"/>
      <c r="GH5498" s="84"/>
    </row>
    <row r="5499" spans="187:190" s="2" customFormat="1" ht="18" customHeight="1" x14ac:dyDescent="0.2">
      <c r="GE5499" s="84"/>
      <c r="GF5499" s="84"/>
      <c r="GG5499" s="84"/>
      <c r="GH5499" s="84"/>
    </row>
    <row r="5500" spans="187:190" s="2" customFormat="1" ht="18" customHeight="1" x14ac:dyDescent="0.2">
      <c r="GE5500" s="84"/>
      <c r="GF5500" s="84"/>
      <c r="GG5500" s="84"/>
      <c r="GH5500" s="84"/>
    </row>
    <row r="5501" spans="187:190" s="2" customFormat="1" ht="18" customHeight="1" x14ac:dyDescent="0.2">
      <c r="GE5501" s="84"/>
      <c r="GF5501" s="84"/>
      <c r="GG5501" s="84"/>
      <c r="GH5501" s="84"/>
    </row>
    <row r="5502" spans="187:190" s="2" customFormat="1" ht="18" customHeight="1" x14ac:dyDescent="0.2">
      <c r="GE5502" s="84"/>
      <c r="GF5502" s="84"/>
      <c r="GG5502" s="84"/>
      <c r="GH5502" s="84"/>
    </row>
    <row r="5503" spans="187:190" s="2" customFormat="1" ht="18" customHeight="1" x14ac:dyDescent="0.2">
      <c r="GE5503" s="84"/>
      <c r="GF5503" s="84"/>
      <c r="GG5503" s="84"/>
      <c r="GH5503" s="84"/>
    </row>
    <row r="5504" spans="187:190" s="2" customFormat="1" ht="18" customHeight="1" x14ac:dyDescent="0.2">
      <c r="GE5504" s="84"/>
      <c r="GF5504" s="84"/>
      <c r="GG5504" s="84"/>
      <c r="GH5504" s="84"/>
    </row>
    <row r="5505" spans="187:190" s="2" customFormat="1" ht="18" customHeight="1" x14ac:dyDescent="0.2">
      <c r="GE5505" s="84"/>
      <c r="GF5505" s="84"/>
      <c r="GG5505" s="84"/>
      <c r="GH5505" s="84"/>
    </row>
    <row r="5506" spans="187:190" s="2" customFormat="1" ht="18" customHeight="1" x14ac:dyDescent="0.2">
      <c r="GE5506" s="84"/>
      <c r="GF5506" s="84"/>
      <c r="GG5506" s="84"/>
      <c r="GH5506" s="84"/>
    </row>
    <row r="5507" spans="187:190" s="2" customFormat="1" ht="18" customHeight="1" x14ac:dyDescent="0.2">
      <c r="GE5507" s="84"/>
      <c r="GF5507" s="84"/>
      <c r="GG5507" s="84"/>
      <c r="GH5507" s="84"/>
    </row>
    <row r="5508" spans="187:190" s="2" customFormat="1" ht="18" customHeight="1" x14ac:dyDescent="0.2">
      <c r="GE5508" s="84"/>
      <c r="GF5508" s="84"/>
      <c r="GG5508" s="84"/>
      <c r="GH5508" s="84"/>
    </row>
    <row r="5509" spans="187:190" s="2" customFormat="1" ht="18" customHeight="1" x14ac:dyDescent="0.2">
      <c r="GE5509" s="84"/>
      <c r="GF5509" s="84"/>
      <c r="GG5509" s="84"/>
      <c r="GH5509" s="84"/>
    </row>
    <row r="5510" spans="187:190" s="2" customFormat="1" ht="18" customHeight="1" x14ac:dyDescent="0.2">
      <c r="GE5510" s="84"/>
      <c r="GF5510" s="84"/>
      <c r="GG5510" s="84"/>
      <c r="GH5510" s="84"/>
    </row>
    <row r="5511" spans="187:190" s="2" customFormat="1" ht="18" customHeight="1" x14ac:dyDescent="0.2">
      <c r="GE5511" s="84"/>
      <c r="GF5511" s="84"/>
      <c r="GG5511" s="84"/>
      <c r="GH5511" s="84"/>
    </row>
    <row r="5512" spans="187:190" s="2" customFormat="1" ht="18" customHeight="1" x14ac:dyDescent="0.2">
      <c r="GE5512" s="84"/>
      <c r="GF5512" s="84"/>
      <c r="GG5512" s="84"/>
      <c r="GH5512" s="84"/>
    </row>
    <row r="5513" spans="187:190" s="2" customFormat="1" ht="18" customHeight="1" x14ac:dyDescent="0.2">
      <c r="GE5513" s="84"/>
      <c r="GF5513" s="84"/>
      <c r="GG5513" s="84"/>
      <c r="GH5513" s="84"/>
    </row>
    <row r="5514" spans="187:190" s="2" customFormat="1" ht="18" customHeight="1" x14ac:dyDescent="0.2">
      <c r="GE5514" s="84"/>
      <c r="GF5514" s="84"/>
      <c r="GG5514" s="84"/>
      <c r="GH5514" s="84"/>
    </row>
    <row r="5515" spans="187:190" s="2" customFormat="1" ht="18" customHeight="1" x14ac:dyDescent="0.2">
      <c r="GE5515" s="84"/>
      <c r="GF5515" s="84"/>
      <c r="GG5515" s="84"/>
      <c r="GH5515" s="84"/>
    </row>
    <row r="5516" spans="187:190" s="2" customFormat="1" ht="18" customHeight="1" x14ac:dyDescent="0.2">
      <c r="GE5516" s="84"/>
      <c r="GF5516" s="84"/>
      <c r="GG5516" s="84"/>
      <c r="GH5516" s="84"/>
    </row>
    <row r="5517" spans="187:190" s="2" customFormat="1" ht="18" customHeight="1" x14ac:dyDescent="0.2">
      <c r="GE5517" s="84"/>
      <c r="GF5517" s="84"/>
      <c r="GG5517" s="84"/>
      <c r="GH5517" s="84"/>
    </row>
    <row r="5518" spans="187:190" s="2" customFormat="1" ht="18" customHeight="1" x14ac:dyDescent="0.2">
      <c r="GE5518" s="84"/>
      <c r="GF5518" s="84"/>
      <c r="GG5518" s="84"/>
      <c r="GH5518" s="84"/>
    </row>
    <row r="5519" spans="187:190" s="2" customFormat="1" ht="18" customHeight="1" x14ac:dyDescent="0.2">
      <c r="GE5519" s="84"/>
      <c r="GF5519" s="84"/>
      <c r="GG5519" s="84"/>
      <c r="GH5519" s="84"/>
    </row>
    <row r="5520" spans="187:190" s="2" customFormat="1" ht="18" customHeight="1" x14ac:dyDescent="0.2">
      <c r="GE5520" s="84"/>
      <c r="GF5520" s="84"/>
      <c r="GG5520" s="84"/>
      <c r="GH5520" s="84"/>
    </row>
    <row r="5521" spans="187:190" s="2" customFormat="1" ht="18" customHeight="1" x14ac:dyDescent="0.2">
      <c r="GE5521" s="84"/>
      <c r="GF5521" s="84"/>
      <c r="GG5521" s="84"/>
      <c r="GH5521" s="84"/>
    </row>
    <row r="5522" spans="187:190" s="2" customFormat="1" ht="18" customHeight="1" x14ac:dyDescent="0.2">
      <c r="GE5522" s="84"/>
      <c r="GF5522" s="84"/>
      <c r="GG5522" s="84"/>
      <c r="GH5522" s="84"/>
    </row>
    <row r="5523" spans="187:190" s="2" customFormat="1" ht="18" customHeight="1" x14ac:dyDescent="0.2">
      <c r="GE5523" s="84"/>
      <c r="GF5523" s="84"/>
      <c r="GG5523" s="84"/>
      <c r="GH5523" s="84"/>
    </row>
    <row r="5524" spans="187:190" s="2" customFormat="1" ht="18" customHeight="1" x14ac:dyDescent="0.2">
      <c r="GE5524" s="84"/>
      <c r="GF5524" s="84"/>
      <c r="GG5524" s="84"/>
      <c r="GH5524" s="84"/>
    </row>
    <row r="5525" spans="187:190" s="2" customFormat="1" ht="18" customHeight="1" x14ac:dyDescent="0.2">
      <c r="GE5525" s="84"/>
      <c r="GF5525" s="84"/>
      <c r="GG5525" s="84"/>
      <c r="GH5525" s="84"/>
    </row>
    <row r="5526" spans="187:190" s="2" customFormat="1" ht="18" customHeight="1" x14ac:dyDescent="0.2">
      <c r="GE5526" s="84"/>
      <c r="GF5526" s="84"/>
      <c r="GG5526" s="84"/>
      <c r="GH5526" s="84"/>
    </row>
    <row r="5527" spans="187:190" s="2" customFormat="1" ht="18" customHeight="1" x14ac:dyDescent="0.2">
      <c r="GE5527" s="84"/>
      <c r="GF5527" s="84"/>
      <c r="GG5527" s="84"/>
      <c r="GH5527" s="84"/>
    </row>
    <row r="5528" spans="187:190" s="2" customFormat="1" ht="18" customHeight="1" x14ac:dyDescent="0.2">
      <c r="GE5528" s="84"/>
      <c r="GF5528" s="84"/>
      <c r="GG5528" s="84"/>
      <c r="GH5528" s="84"/>
    </row>
    <row r="5529" spans="187:190" s="2" customFormat="1" ht="18" customHeight="1" x14ac:dyDescent="0.2">
      <c r="GE5529" s="84"/>
      <c r="GF5529" s="84"/>
      <c r="GG5529" s="84"/>
      <c r="GH5529" s="84"/>
    </row>
    <row r="5530" spans="187:190" s="2" customFormat="1" ht="18" customHeight="1" x14ac:dyDescent="0.2">
      <c r="GE5530" s="84"/>
      <c r="GF5530" s="84"/>
      <c r="GG5530" s="84"/>
      <c r="GH5530" s="84"/>
    </row>
    <row r="5531" spans="187:190" s="2" customFormat="1" ht="18" customHeight="1" x14ac:dyDescent="0.2">
      <c r="GE5531" s="84"/>
      <c r="GF5531" s="84"/>
      <c r="GG5531" s="84"/>
      <c r="GH5531" s="84"/>
    </row>
    <row r="5532" spans="187:190" s="2" customFormat="1" ht="18" customHeight="1" x14ac:dyDescent="0.2">
      <c r="GE5532" s="84"/>
      <c r="GF5532" s="84"/>
      <c r="GG5532" s="84"/>
      <c r="GH5532" s="84"/>
    </row>
    <row r="5533" spans="187:190" s="2" customFormat="1" ht="18" customHeight="1" x14ac:dyDescent="0.2">
      <c r="GE5533" s="84"/>
      <c r="GF5533" s="84"/>
      <c r="GG5533" s="84"/>
      <c r="GH5533" s="84"/>
    </row>
    <row r="5534" spans="187:190" s="2" customFormat="1" ht="18" customHeight="1" x14ac:dyDescent="0.2">
      <c r="GE5534" s="84"/>
      <c r="GF5534" s="84"/>
      <c r="GG5534" s="84"/>
      <c r="GH5534" s="84"/>
    </row>
    <row r="5535" spans="187:190" s="2" customFormat="1" ht="18" customHeight="1" x14ac:dyDescent="0.2">
      <c r="GE5535" s="84"/>
      <c r="GF5535" s="84"/>
      <c r="GG5535" s="84"/>
      <c r="GH5535" s="84"/>
    </row>
    <row r="5536" spans="187:190" s="2" customFormat="1" ht="18" customHeight="1" x14ac:dyDescent="0.2">
      <c r="GE5536" s="84"/>
      <c r="GF5536" s="84"/>
      <c r="GG5536" s="84"/>
      <c r="GH5536" s="84"/>
    </row>
    <row r="5537" spans="187:190" s="2" customFormat="1" ht="18" customHeight="1" x14ac:dyDescent="0.2">
      <c r="GE5537" s="84"/>
      <c r="GF5537" s="84"/>
      <c r="GG5537" s="84"/>
      <c r="GH5537" s="84"/>
    </row>
    <row r="5538" spans="187:190" s="2" customFormat="1" ht="18" customHeight="1" x14ac:dyDescent="0.2">
      <c r="GE5538" s="84"/>
      <c r="GF5538" s="84"/>
      <c r="GG5538" s="84"/>
      <c r="GH5538" s="84"/>
    </row>
    <row r="5539" spans="187:190" s="2" customFormat="1" ht="18" customHeight="1" x14ac:dyDescent="0.2">
      <c r="GE5539" s="84"/>
      <c r="GF5539" s="84"/>
      <c r="GG5539" s="84"/>
      <c r="GH5539" s="84"/>
    </row>
    <row r="5540" spans="187:190" s="2" customFormat="1" ht="18" customHeight="1" x14ac:dyDescent="0.2">
      <c r="GE5540" s="84"/>
      <c r="GF5540" s="84"/>
      <c r="GG5540" s="84"/>
      <c r="GH5540" s="84"/>
    </row>
    <row r="5541" spans="187:190" s="2" customFormat="1" ht="18" customHeight="1" x14ac:dyDescent="0.2">
      <c r="GE5541" s="84"/>
      <c r="GF5541" s="84"/>
      <c r="GG5541" s="84"/>
      <c r="GH5541" s="84"/>
    </row>
    <row r="5542" spans="187:190" s="2" customFormat="1" ht="18" customHeight="1" x14ac:dyDescent="0.2">
      <c r="GE5542" s="84"/>
      <c r="GF5542" s="84"/>
      <c r="GG5542" s="84"/>
      <c r="GH5542" s="84"/>
    </row>
    <row r="5543" spans="187:190" s="2" customFormat="1" ht="18" customHeight="1" x14ac:dyDescent="0.2">
      <c r="GE5543" s="84"/>
      <c r="GF5543" s="84"/>
      <c r="GG5543" s="84"/>
      <c r="GH5543" s="84"/>
    </row>
    <row r="5544" spans="187:190" s="2" customFormat="1" ht="18" customHeight="1" x14ac:dyDescent="0.2">
      <c r="GE5544" s="84"/>
      <c r="GF5544" s="84"/>
      <c r="GG5544" s="84"/>
      <c r="GH5544" s="84"/>
    </row>
    <row r="5545" spans="187:190" s="2" customFormat="1" ht="18" customHeight="1" x14ac:dyDescent="0.2">
      <c r="GE5545" s="84"/>
      <c r="GF5545" s="84"/>
      <c r="GG5545" s="84"/>
      <c r="GH5545" s="84"/>
    </row>
    <row r="5546" spans="187:190" s="2" customFormat="1" ht="18" customHeight="1" x14ac:dyDescent="0.2">
      <c r="GE5546" s="84"/>
      <c r="GF5546" s="84"/>
      <c r="GG5546" s="84"/>
      <c r="GH5546" s="84"/>
    </row>
    <row r="5547" spans="187:190" s="2" customFormat="1" ht="18" customHeight="1" x14ac:dyDescent="0.2">
      <c r="GE5547" s="84"/>
      <c r="GF5547" s="84"/>
      <c r="GG5547" s="84"/>
      <c r="GH5547" s="84"/>
    </row>
    <row r="5548" spans="187:190" s="2" customFormat="1" ht="18" customHeight="1" x14ac:dyDescent="0.2">
      <c r="GE5548" s="84"/>
      <c r="GF5548" s="84"/>
      <c r="GG5548" s="84"/>
      <c r="GH5548" s="84"/>
    </row>
    <row r="5549" spans="187:190" s="2" customFormat="1" ht="18" customHeight="1" x14ac:dyDescent="0.2">
      <c r="GE5549" s="84"/>
      <c r="GF5549" s="84"/>
      <c r="GG5549" s="84"/>
      <c r="GH5549" s="84"/>
    </row>
    <row r="5550" spans="187:190" s="2" customFormat="1" ht="18" customHeight="1" x14ac:dyDescent="0.2">
      <c r="GE5550" s="84"/>
      <c r="GF5550" s="84"/>
      <c r="GG5550" s="84"/>
      <c r="GH5550" s="84"/>
    </row>
    <row r="5551" spans="187:190" s="2" customFormat="1" ht="18" customHeight="1" x14ac:dyDescent="0.2">
      <c r="GE5551" s="84"/>
      <c r="GF5551" s="84"/>
      <c r="GG5551" s="84"/>
      <c r="GH5551" s="84"/>
    </row>
    <row r="5552" spans="187:190" s="2" customFormat="1" ht="18" customHeight="1" x14ac:dyDescent="0.2">
      <c r="GE5552" s="84"/>
      <c r="GF5552" s="84"/>
      <c r="GG5552" s="84"/>
      <c r="GH5552" s="84"/>
    </row>
    <row r="5553" spans="187:190" s="2" customFormat="1" ht="18" customHeight="1" x14ac:dyDescent="0.2">
      <c r="GE5553" s="84"/>
      <c r="GF5553" s="84"/>
      <c r="GG5553" s="84"/>
      <c r="GH5553" s="84"/>
    </row>
    <row r="5554" spans="187:190" s="2" customFormat="1" ht="18" customHeight="1" x14ac:dyDescent="0.2">
      <c r="GE5554" s="84"/>
      <c r="GF5554" s="84"/>
      <c r="GG5554" s="84"/>
      <c r="GH5554" s="84"/>
    </row>
    <row r="5555" spans="187:190" s="2" customFormat="1" ht="18" customHeight="1" x14ac:dyDescent="0.2">
      <c r="GE5555" s="84"/>
      <c r="GF5555" s="84"/>
      <c r="GG5555" s="84"/>
      <c r="GH5555" s="84"/>
    </row>
    <row r="5556" spans="187:190" s="2" customFormat="1" ht="18" customHeight="1" x14ac:dyDescent="0.2">
      <c r="GE5556" s="84"/>
      <c r="GF5556" s="84"/>
      <c r="GG5556" s="84"/>
      <c r="GH5556" s="84"/>
    </row>
    <row r="5557" spans="187:190" s="2" customFormat="1" ht="18" customHeight="1" x14ac:dyDescent="0.2">
      <c r="GE5557" s="84"/>
      <c r="GF5557" s="84"/>
      <c r="GG5557" s="84"/>
      <c r="GH5557" s="84"/>
    </row>
    <row r="5558" spans="187:190" s="2" customFormat="1" ht="18" customHeight="1" x14ac:dyDescent="0.2">
      <c r="GE5558" s="84"/>
      <c r="GF5558" s="84"/>
      <c r="GG5558" s="84"/>
      <c r="GH5558" s="84"/>
    </row>
    <row r="5559" spans="187:190" s="2" customFormat="1" ht="18" customHeight="1" x14ac:dyDescent="0.2">
      <c r="GE5559" s="84"/>
      <c r="GF5559" s="84"/>
      <c r="GG5559" s="84"/>
      <c r="GH5559" s="84"/>
    </row>
    <row r="5560" spans="187:190" s="2" customFormat="1" ht="18" customHeight="1" x14ac:dyDescent="0.2">
      <c r="GE5560" s="84"/>
      <c r="GF5560" s="84"/>
      <c r="GG5560" s="84"/>
      <c r="GH5560" s="84"/>
    </row>
    <row r="5561" spans="187:190" s="2" customFormat="1" ht="18" customHeight="1" x14ac:dyDescent="0.2">
      <c r="GE5561" s="84"/>
      <c r="GF5561" s="84"/>
      <c r="GG5561" s="84"/>
      <c r="GH5561" s="84"/>
    </row>
    <row r="5562" spans="187:190" s="2" customFormat="1" ht="18" customHeight="1" x14ac:dyDescent="0.2">
      <c r="GE5562" s="84"/>
      <c r="GF5562" s="84"/>
      <c r="GG5562" s="84"/>
      <c r="GH5562" s="84"/>
    </row>
    <row r="5563" spans="187:190" s="2" customFormat="1" ht="18" customHeight="1" x14ac:dyDescent="0.2">
      <c r="GE5563" s="84"/>
      <c r="GF5563" s="84"/>
      <c r="GG5563" s="84"/>
      <c r="GH5563" s="84"/>
    </row>
    <row r="5564" spans="187:190" s="2" customFormat="1" ht="18" customHeight="1" x14ac:dyDescent="0.2">
      <c r="GE5564" s="84"/>
      <c r="GF5564" s="84"/>
      <c r="GG5564" s="84"/>
      <c r="GH5564" s="84"/>
    </row>
    <row r="5565" spans="187:190" s="2" customFormat="1" ht="18" customHeight="1" x14ac:dyDescent="0.2">
      <c r="GE5565" s="84"/>
      <c r="GF5565" s="84"/>
      <c r="GG5565" s="84"/>
      <c r="GH5565" s="84"/>
    </row>
    <row r="5566" spans="187:190" s="2" customFormat="1" ht="18" customHeight="1" x14ac:dyDescent="0.2">
      <c r="GE5566" s="84"/>
      <c r="GF5566" s="84"/>
      <c r="GG5566" s="84"/>
      <c r="GH5566" s="84"/>
    </row>
    <row r="5567" spans="187:190" s="2" customFormat="1" ht="18" customHeight="1" x14ac:dyDescent="0.2">
      <c r="GE5567" s="84"/>
      <c r="GF5567" s="84"/>
      <c r="GG5567" s="84"/>
      <c r="GH5567" s="84"/>
    </row>
    <row r="5568" spans="187:190" s="2" customFormat="1" ht="18" customHeight="1" x14ac:dyDescent="0.2">
      <c r="GE5568" s="84"/>
      <c r="GF5568" s="84"/>
      <c r="GG5568" s="84"/>
      <c r="GH5568" s="84"/>
    </row>
    <row r="5569" spans="187:190" s="2" customFormat="1" ht="18" customHeight="1" x14ac:dyDescent="0.2">
      <c r="GE5569" s="84"/>
      <c r="GF5569" s="84"/>
      <c r="GG5569" s="84"/>
      <c r="GH5569" s="84"/>
    </row>
    <row r="5570" spans="187:190" s="2" customFormat="1" ht="18" customHeight="1" x14ac:dyDescent="0.2">
      <c r="GE5570" s="84"/>
      <c r="GF5570" s="84"/>
      <c r="GG5570" s="84"/>
      <c r="GH5570" s="84"/>
    </row>
    <row r="5571" spans="187:190" s="2" customFormat="1" ht="18" customHeight="1" x14ac:dyDescent="0.2">
      <c r="GE5571" s="84"/>
      <c r="GF5571" s="84"/>
      <c r="GG5571" s="84"/>
      <c r="GH5571" s="84"/>
    </row>
    <row r="5572" spans="187:190" s="2" customFormat="1" ht="18" customHeight="1" x14ac:dyDescent="0.2">
      <c r="GE5572" s="84"/>
      <c r="GF5572" s="84"/>
      <c r="GG5572" s="84"/>
      <c r="GH5572" s="84"/>
    </row>
    <row r="5573" spans="187:190" s="2" customFormat="1" ht="18" customHeight="1" x14ac:dyDescent="0.2">
      <c r="GE5573" s="84"/>
      <c r="GF5573" s="84"/>
      <c r="GG5573" s="84"/>
      <c r="GH5573" s="84"/>
    </row>
    <row r="5574" spans="187:190" s="2" customFormat="1" ht="18" customHeight="1" x14ac:dyDescent="0.2">
      <c r="GE5574" s="84"/>
      <c r="GF5574" s="84"/>
      <c r="GG5574" s="84"/>
      <c r="GH5574" s="84"/>
    </row>
    <row r="5575" spans="187:190" s="2" customFormat="1" ht="18" customHeight="1" x14ac:dyDescent="0.2">
      <c r="GE5575" s="84"/>
      <c r="GF5575" s="84"/>
      <c r="GG5575" s="84"/>
      <c r="GH5575" s="84"/>
    </row>
    <row r="5576" spans="187:190" s="2" customFormat="1" ht="18" customHeight="1" x14ac:dyDescent="0.2">
      <c r="GE5576" s="84"/>
      <c r="GF5576" s="84"/>
      <c r="GG5576" s="84"/>
      <c r="GH5576" s="84"/>
    </row>
    <row r="5577" spans="187:190" s="2" customFormat="1" ht="18" customHeight="1" x14ac:dyDescent="0.2">
      <c r="GE5577" s="84"/>
      <c r="GF5577" s="84"/>
      <c r="GG5577" s="84"/>
      <c r="GH5577" s="84"/>
    </row>
    <row r="5578" spans="187:190" s="2" customFormat="1" ht="18" customHeight="1" x14ac:dyDescent="0.2">
      <c r="GE5578" s="84"/>
      <c r="GF5578" s="84"/>
      <c r="GG5578" s="84"/>
      <c r="GH5578" s="84"/>
    </row>
    <row r="5579" spans="187:190" s="2" customFormat="1" ht="18" customHeight="1" x14ac:dyDescent="0.2">
      <c r="GE5579" s="84"/>
      <c r="GF5579" s="84"/>
      <c r="GG5579" s="84"/>
      <c r="GH5579" s="84"/>
    </row>
  </sheetData>
  <mergeCells count="1">
    <mergeCell ref="A2:JG2"/>
  </mergeCells>
  <pageMargins left="0.2" right="0.2" top="0" bottom="0" header="0" footer="0"/>
  <pageSetup paperSize="9" scale="39" orientation="landscape" r:id="rId1"/>
  <headerFooter scaleWithDoc="0">
    <oddHeader>&amp;L&amp;8National Bank of Cambodia,
Statistics Department</oddHeader>
    <oddFooter>&amp;L&amp;6Monetary and Financial Statistics Division 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Curr. # US$</vt:lpstr>
      <vt:lpstr>'Curr. # US$'!Print_Area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BANK</dc:creator>
  <cp:lastModifiedBy>Ong Socheata</cp:lastModifiedBy>
  <cp:lastPrinted>2015-08-06T01:26:32Z</cp:lastPrinted>
  <dcterms:created xsi:type="dcterms:W3CDTF">2002-07-11T05:38:21Z</dcterms:created>
  <dcterms:modified xsi:type="dcterms:W3CDTF">2023-01-23T03:06:07Z</dcterms:modified>
</cp:coreProperties>
</file>